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D3045F0-2AB6-43A8-A846-3CC120286C1A}" xr6:coauthVersionLast="47" xr6:coauthVersionMax="47" xr10:uidLastSave="{00000000-0000-0000-0000-000000000000}"/>
  <bookViews>
    <workbookView xWindow="-120" yWindow="-120" windowWidth="29040" windowHeight="15720" xr2:uid="{3207881B-C2A3-43D0-85D6-395BF6FEF242}"/>
  </bookViews>
  <sheets>
    <sheet name="Istruzioni" sheetId="8" r:id="rId1"/>
    <sheet name="Riepilogo" sheetId="4" r:id="rId2"/>
    <sheet name="C.A. ala" sheetId="3" r:id="rId3"/>
    <sheet name="C.A. piani coda" sheetId="5" r:id="rId4"/>
    <sheet name="NACA 4412" sheetId="7" r:id="rId5"/>
    <sheet name="NACA 0006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4" l="1"/>
  <c r="J41" i="4"/>
  <c r="J40" i="4"/>
  <c r="B7" i="4"/>
  <c r="B10" i="4" s="1"/>
  <c r="J33" i="4"/>
  <c r="J34" i="4"/>
  <c r="J35" i="4"/>
  <c r="J36" i="4"/>
  <c r="J37" i="4"/>
  <c r="J38" i="4"/>
  <c r="J32" i="4"/>
  <c r="I33" i="4"/>
  <c r="I34" i="4"/>
  <c r="I35" i="4"/>
  <c r="I36" i="4"/>
  <c r="I37" i="4"/>
  <c r="I38" i="4"/>
  <c r="I32" i="4"/>
  <c r="B18" i="4"/>
  <c r="B12" i="4"/>
  <c r="D28" i="4"/>
  <c r="F33" i="4"/>
  <c r="G33" i="4"/>
  <c r="H33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H32" i="4"/>
  <c r="G32" i="4"/>
  <c r="F32" i="4"/>
  <c r="E32" i="4"/>
  <c r="E33" i="4"/>
  <c r="E34" i="4"/>
  <c r="E35" i="4"/>
  <c r="E36" i="4"/>
  <c r="E37" i="4"/>
  <c r="E38" i="4"/>
  <c r="D32" i="4"/>
  <c r="D33" i="4"/>
  <c r="D34" i="4"/>
  <c r="D35" i="4"/>
  <c r="D36" i="4"/>
  <c r="D37" i="4"/>
  <c r="D38" i="4"/>
  <c r="C33" i="4"/>
  <c r="C34" i="4"/>
  <c r="C35" i="4"/>
  <c r="C36" i="4"/>
  <c r="C37" i="4"/>
  <c r="C38" i="4"/>
  <c r="C32" i="4"/>
  <c r="B15" i="4"/>
  <c r="S2" i="5"/>
  <c r="B9" i="4"/>
  <c r="S2" i="3"/>
  <c r="B4" i="4"/>
  <c r="B3" i="4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G8" i="5" s="1"/>
  <c r="E7" i="5"/>
  <c r="F7" i="5" s="1"/>
  <c r="G7" i="5" s="1"/>
  <c r="E6" i="5"/>
  <c r="F6" i="5" s="1"/>
  <c r="G6" i="5" s="1"/>
  <c r="E5" i="5"/>
  <c r="F5" i="5" s="1"/>
  <c r="G5" i="5" s="1"/>
  <c r="E4" i="5"/>
  <c r="F4" i="5" s="1"/>
  <c r="G4" i="5" s="1"/>
  <c r="E3" i="5"/>
  <c r="F3" i="5" s="1"/>
  <c r="G3" i="5" s="1"/>
  <c r="E2" i="5"/>
  <c r="F2" i="5" s="1"/>
  <c r="G2" i="5" s="1"/>
  <c r="E2" i="3"/>
  <c r="F2" i="3" s="1"/>
  <c r="G2" i="3" s="1"/>
  <c r="E3" i="3"/>
  <c r="F3" i="3" s="1"/>
  <c r="G3" i="3" s="1"/>
  <c r="E4" i="3"/>
  <c r="F4" i="3" s="1"/>
  <c r="G4" i="3" s="1"/>
  <c r="E5" i="3"/>
  <c r="F5" i="3" s="1"/>
  <c r="G5" i="3" s="1"/>
  <c r="E6" i="3"/>
  <c r="F6" i="3" s="1"/>
  <c r="G6" i="3" s="1"/>
  <c r="E7" i="3"/>
  <c r="F7" i="3" s="1"/>
  <c r="G7" i="3" s="1"/>
  <c r="E8" i="3"/>
  <c r="F8" i="3" s="1"/>
  <c r="G8" i="3" s="1"/>
  <c r="E9" i="3"/>
  <c r="F9" i="3" s="1"/>
  <c r="G9" i="3" s="1"/>
  <c r="E10" i="3"/>
  <c r="F10" i="3" s="1"/>
  <c r="G10" i="3" s="1"/>
  <c r="E11" i="3"/>
  <c r="F11" i="3" s="1"/>
  <c r="G11" i="3" s="1"/>
  <c r="E12" i="3"/>
  <c r="F12" i="3" s="1"/>
  <c r="G12" i="3" s="1"/>
  <c r="E13" i="3"/>
  <c r="F13" i="3" s="1"/>
  <c r="G13" i="3" s="1"/>
  <c r="E14" i="3"/>
  <c r="F14" i="3" s="1"/>
  <c r="G14" i="3" s="1"/>
  <c r="E15" i="3"/>
  <c r="F15" i="3" s="1"/>
  <c r="G15" i="3" s="1"/>
  <c r="E16" i="3"/>
  <c r="F16" i="3" s="1"/>
  <c r="G16" i="3" s="1"/>
  <c r="E17" i="3"/>
  <c r="F17" i="3" s="1"/>
  <c r="G17" i="3" s="1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B16" i="4" l="1"/>
  <c r="K2" i="5"/>
  <c r="K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Ceriotti</author>
  </authors>
  <commentList>
    <comment ref="B1" authorId="0" shapeId="0" xr:uid="{B7879BC9-8523-4C2B-AB4E-81EE15448E44}">
      <text>
        <r>
          <rPr>
            <b/>
            <sz val="9"/>
            <color indexed="81"/>
            <rFont val="Tahoma"/>
            <charset val="1"/>
          </rPr>
          <t>Fabio Ceriotti:</t>
        </r>
        <r>
          <rPr>
            <sz val="9"/>
            <color indexed="81"/>
            <rFont val="Tahoma"/>
            <charset val="1"/>
          </rPr>
          <t xml:space="preserve">
OFFSET
distanza del bordo di attacco della centina i dal bordo di attacco della radice alare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Ceriotti</author>
  </authors>
  <commentList>
    <comment ref="B1" authorId="0" shapeId="0" xr:uid="{A648513F-EE5A-4273-A7C5-99388676655B}">
      <text>
        <r>
          <rPr>
            <b/>
            <sz val="9"/>
            <color indexed="81"/>
            <rFont val="Tahoma"/>
            <charset val="1"/>
          </rPr>
          <t>Fabio Ceriotti:</t>
        </r>
        <r>
          <rPr>
            <sz val="9"/>
            <color indexed="81"/>
            <rFont val="Tahoma"/>
            <charset val="1"/>
          </rPr>
          <t xml:space="preserve">
OFFSET
distanza del bordo di attacco della centina i dal bordo di attacco della radice alare</t>
        </r>
      </text>
    </comment>
  </commentList>
</comments>
</file>

<file path=xl/sharedStrings.xml><?xml version="1.0" encoding="utf-8"?>
<sst xmlns="http://schemas.openxmlformats.org/spreadsheetml/2006/main" count="87" uniqueCount="67">
  <si>
    <t>ID CENTINA</t>
  </si>
  <si>
    <t>OFFSET</t>
  </si>
  <si>
    <t>CORDA</t>
  </si>
  <si>
    <t>C.A. (% corda)</t>
  </si>
  <si>
    <t>C.A.</t>
  </si>
  <si>
    <t>dist C.A. - ref</t>
  </si>
  <si>
    <t>Aux</t>
  </si>
  <si>
    <t>x =</t>
  </si>
  <si>
    <t>Posizione C.A. ala rispetto rif.</t>
  </si>
  <si>
    <t>modificare solo numeri in blu</t>
  </si>
  <si>
    <t>xp =</t>
  </si>
  <si>
    <t>Posizione C.A. piani coda rispetto rif.</t>
  </si>
  <si>
    <t>X</t>
  </si>
  <si>
    <t>Xp</t>
  </si>
  <si>
    <t>da foglio C.A. ala</t>
  </si>
  <si>
    <t>da foglio C.A. piani coda</t>
  </si>
  <si>
    <t>d</t>
  </si>
  <si>
    <t>Alpha</t>
  </si>
  <si>
    <t>Cl</t>
  </si>
  <si>
    <t>Cd</t>
  </si>
  <si>
    <t>Cm</t>
  </si>
  <si>
    <t>NACA 0006</t>
  </si>
  <si>
    <t>Velocità</t>
  </si>
  <si>
    <t>km/h</t>
  </si>
  <si>
    <t>corda media</t>
  </si>
  <si>
    <t>nel link spuntare il Reynolds più simile a quello calcolato</t>
  </si>
  <si>
    <t>Reynolds ala</t>
  </si>
  <si>
    <t>corda media ala</t>
  </si>
  <si>
    <t>corda media piani coda</t>
  </si>
  <si>
    <t>Reynolds piani coda</t>
  </si>
  <si>
    <t>NACA 4412</t>
  </si>
  <si>
    <t>Peso</t>
  </si>
  <si>
    <t>kg</t>
  </si>
  <si>
    <t>alpha</t>
  </si>
  <si>
    <t>Cl ala</t>
  </si>
  <si>
    <t>Cd ala</t>
  </si>
  <si>
    <t>Cm ala</t>
  </si>
  <si>
    <t>Cl p.c.</t>
  </si>
  <si>
    <t>Cd p.c.</t>
  </si>
  <si>
    <t>Cm p.c.</t>
  </si>
  <si>
    <t>distanza tra centri aerodinamici (ala - piani coda)</t>
  </si>
  <si>
    <t>ALA</t>
  </si>
  <si>
    <t>apertura alare</t>
  </si>
  <si>
    <t>Superficie</t>
  </si>
  <si>
    <t>mq</t>
  </si>
  <si>
    <t>mm</t>
  </si>
  <si>
    <t>PIANI DI CODA</t>
  </si>
  <si>
    <t>Apertura piani coda</t>
  </si>
  <si>
    <t>V [km/h]</t>
  </si>
  <si>
    <t>Xcg [mm]</t>
  </si>
  <si>
    <t>Prima di tutto compilare i fogli C.A. ala e C.A piani coda. Sono strutturati in maniera identica</t>
  </si>
  <si>
    <t>L'importante è usare sempre lo stesso riferimento. Io ho usato il bordo di attacco della centina di radice come 0, il risultato x è espresso rispetto a quel riferimento.</t>
  </si>
  <si>
    <t>Inserendo i valori presi dal dwg il centro aerodinamico medio dell'ala risulta essere a 156mm dal bordo d'attacco del profilo di radice</t>
  </si>
  <si>
    <t>Per i piani di coda ho preso il punto in cui si attaccano alla fusoliera, ovviamente se la x èesce negative si troverà avanzato rispetto al riferimento (più verso la testa dell'aereo rispetto al riferimento)</t>
  </si>
  <si>
    <t>In questo caso è 57, per cui è più verso la coda.</t>
  </si>
  <si>
    <t>Nei fogli NACA 4412 e NACA 0006 (ipotizzato per piani di coda) ci sono i valori dei coefficienti di porta, resistenza e momento.</t>
  </si>
  <si>
    <t>Questi valori sono ricavati dal sito</t>
  </si>
  <si>
    <t>Scegliere i Reynolds più vicino a quello indicato nel foglio riepilogo ed estrarre manualmente i valori dai grafici</t>
  </si>
  <si>
    <r>
      <t xml:space="preserve">Il foglio riepilogo invece ha quasi tutti dati presi dagli altri fogli, modifcare solamente quelli in </t>
    </r>
    <r>
      <rPr>
        <b/>
        <sz val="11"/>
        <color rgb="FF0000FF"/>
        <rFont val="Calibri"/>
        <family val="2"/>
        <scheme val="minor"/>
      </rPr>
      <t>BLU</t>
    </r>
  </si>
  <si>
    <t>La tabella, sulla base del peso calcola la velocità di volo con l'equilibrio verticale considerando Volo Rettilineo Uniforme (banalmente PESO = PORTANZA ALA + PORTANZA PIANI CODA)</t>
  </si>
  <si>
    <t xml:space="preserve">Poi usa la velocità per eseguire l'equailibrio dei momenti usando come unica incognita la posizione del baricentro. </t>
  </si>
  <si>
    <t xml:space="preserve">Xcg è il risultato, rispetto al punto di riferimento che è sempre il bordo d'attacco della centina in radice. </t>
  </si>
  <si>
    <t>Questo viene ripetuto per i diversi angoli di incidenza ai quali può volare l'aereo.</t>
  </si>
  <si>
    <t>Per posizionare il baricentro si considera la condizione più "usuale" di volo oppure la media indicata sotto</t>
  </si>
  <si>
    <t>MEDIA</t>
  </si>
  <si>
    <t>Rispetto C.A.</t>
  </si>
  <si>
    <r>
      <t xml:space="preserve">Tutti i dati inseriti tranne il peso, dovrebbero essere giusti. Volendo si può modificare solamente il foglio </t>
    </r>
    <r>
      <rPr>
        <b/>
        <sz val="11"/>
        <color theme="1"/>
        <rFont val="Calibri"/>
        <family val="2"/>
        <scheme val="minor"/>
      </rPr>
      <t>riepilogo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</si>
</sst>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9" fontId="4" fillId="0" borderId="0" xfId="0" applyNumberFormat="1" applyFont="1"/>
    <xf numFmtId="1" fontId="0" fillId="0" borderId="0" xfId="0" applyNumberFormat="1"/>
    <xf numFmtId="0" fontId="0" fillId="2" borderId="0" xfId="0" applyFill="1" applyAlignment="1">
      <alignment horizontal="right"/>
    </xf>
    <xf numFmtId="1" fontId="0" fillId="2" borderId="0" xfId="0" applyNumberFormat="1" applyFill="1"/>
    <xf numFmtId="0" fontId="0" fillId="0" borderId="0" xfId="0" applyAlignment="1">
      <alignment horizontal="center"/>
    </xf>
    <xf numFmtId="0" fontId="5" fillId="0" borderId="0" xfId="1"/>
    <xf numFmtId="2" fontId="0" fillId="0" borderId="0" xfId="0" applyNumberFormat="1"/>
    <xf numFmtId="0" fontId="1" fillId="0" borderId="0" xfId="0" applyFont="1" applyAlignment="1">
      <alignment horizontal="center"/>
    </xf>
    <xf numFmtId="0" fontId="4" fillId="4" borderId="0" xfId="0" applyFont="1" applyFill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Font="1"/>
    <xf numFmtId="0" fontId="0" fillId="0" borderId="0" xfId="0" applyAlignment="1">
      <alignment horizontal="right"/>
    </xf>
    <xf numFmtId="1" fontId="0" fillId="3" borderId="0" xfId="0" applyNumberFormat="1" applyFill="1"/>
    <xf numFmtId="1" fontId="1" fillId="0" borderId="0" xfId="0" applyNumberFormat="1" applyFont="1" applyFill="1"/>
    <xf numFmtId="1" fontId="1" fillId="0" borderId="0" xfId="0" applyNumberFormat="1" applyFont="1"/>
    <xf numFmtId="0" fontId="1" fillId="0" borderId="0" xfId="0" applyFont="1"/>
  </cellXfs>
  <cellStyles count="2">
    <cellStyle name="Hyperlink" xfId="1" builtinId="8"/>
    <cellStyle name="Normal" xfId="0" builtinId="0"/>
  </cellStyles>
  <dxfs count="28"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</dxf>
    <dxf>
      <numFmt numFmtId="164" formatCode="0.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</dxf>
    <dxf>
      <numFmt numFmtId="164" formatCode="0.0"/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4412'!$B$1</c:f>
              <c:strCache>
                <c:ptCount val="1"/>
                <c:pt idx="0">
                  <c:v>Cl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4412'!$A$2:$A$14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4412'!$B$2:$B$14</c:f>
              <c:numCache>
                <c:formatCode>0.00</c:formatCode>
                <c:ptCount val="13"/>
                <c:pt idx="0">
                  <c:v>-0.2</c:v>
                </c:pt>
                <c:pt idx="1">
                  <c:v>-9.1666666666666674E-2</c:v>
                </c:pt>
                <c:pt idx="2">
                  <c:v>1.6666666666666718E-2</c:v>
                </c:pt>
                <c:pt idx="3">
                  <c:v>0.12500000000000006</c:v>
                </c:pt>
                <c:pt idx="4">
                  <c:v>0.23333333333333339</c:v>
                </c:pt>
                <c:pt idx="5">
                  <c:v>0.34166666666666673</c:v>
                </c:pt>
                <c:pt idx="6">
                  <c:v>0.45000000000000007</c:v>
                </c:pt>
                <c:pt idx="7">
                  <c:v>0.55833333333333335</c:v>
                </c:pt>
                <c:pt idx="8">
                  <c:v>0.66666666666666674</c:v>
                </c:pt>
                <c:pt idx="9">
                  <c:v>0.77500000000000013</c:v>
                </c:pt>
                <c:pt idx="10">
                  <c:v>0.88333333333333341</c:v>
                </c:pt>
                <c:pt idx="11">
                  <c:v>0.99166666666666681</c:v>
                </c:pt>
                <c:pt idx="12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F3-4E4B-8FED-83240452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4412'!$C$1</c:f>
              <c:strCache>
                <c:ptCount val="1"/>
                <c:pt idx="0">
                  <c:v>Cd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4412'!$A$2:$A$14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4412'!$C$2:$C$14</c:f>
              <c:numCache>
                <c:formatCode>0.000</c:formatCode>
                <c:ptCount val="13"/>
                <c:pt idx="0">
                  <c:v>1.2E-2</c:v>
                </c:pt>
                <c:pt idx="1">
                  <c:v>1.0999999999999999E-2</c:v>
                </c:pt>
                <c:pt idx="2">
                  <c:v>0.01</c:v>
                </c:pt>
                <c:pt idx="3">
                  <c:v>8.9999999999999993E-3</c:v>
                </c:pt>
                <c:pt idx="4">
                  <c:v>8.5000000000000006E-3</c:v>
                </c:pt>
                <c:pt idx="5">
                  <c:v>8.0000000000000002E-3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9.4999999999999998E-3</c:v>
                </c:pt>
                <c:pt idx="11">
                  <c:v>0.01</c:v>
                </c:pt>
                <c:pt idx="12">
                  <c:v>1.0999999999999999E-2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AF-4942-A801-40853A39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4412'!$D$1</c:f>
              <c:strCache>
                <c:ptCount val="1"/>
                <c:pt idx="0">
                  <c:v>Cm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4412'!$A$2:$A$14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4412'!$D$2:$D$14</c:f>
              <c:numCache>
                <c:formatCode>0.000</c:formatCode>
                <c:ptCount val="13"/>
                <c:pt idx="0">
                  <c:v>-0.14000000000000001</c:v>
                </c:pt>
                <c:pt idx="1">
                  <c:v>-0.13</c:v>
                </c:pt>
                <c:pt idx="2">
                  <c:v>-0.12</c:v>
                </c:pt>
                <c:pt idx="3">
                  <c:v>-0.12</c:v>
                </c:pt>
                <c:pt idx="4">
                  <c:v>-0.12</c:v>
                </c:pt>
                <c:pt idx="5">
                  <c:v>-0.11</c:v>
                </c:pt>
                <c:pt idx="6">
                  <c:v>-0.11</c:v>
                </c:pt>
                <c:pt idx="7">
                  <c:v>-0.1</c:v>
                </c:pt>
                <c:pt idx="8">
                  <c:v>-9.8000000000000004E-2</c:v>
                </c:pt>
                <c:pt idx="9">
                  <c:v>-9.6000000000000002E-2</c:v>
                </c:pt>
                <c:pt idx="10">
                  <c:v>-9.6000000000000002E-2</c:v>
                </c:pt>
                <c:pt idx="11">
                  <c:v>-9.6000000000000002E-2</c:v>
                </c:pt>
                <c:pt idx="12">
                  <c:v>-9.4E-2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1D-40D2-A74A-6A6B3C54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0006'!$B$1</c:f>
              <c:strCache>
                <c:ptCount val="1"/>
                <c:pt idx="0">
                  <c:v>Cl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0006'!$A$2:$A$14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0006'!$B$2:$B$14</c:f>
              <c:numCache>
                <c:formatCode>0.00</c:formatCode>
                <c:ptCount val="13"/>
                <c:pt idx="0" formatCode="General">
                  <c:v>-0.65</c:v>
                </c:pt>
                <c:pt idx="1">
                  <c:v>-0.54166666666666674</c:v>
                </c:pt>
                <c:pt idx="2">
                  <c:v>-0.43333333333333335</c:v>
                </c:pt>
                <c:pt idx="3">
                  <c:v>-0.32500000000000001</c:v>
                </c:pt>
                <c:pt idx="4">
                  <c:v>-0.21666666666666667</c:v>
                </c:pt>
                <c:pt idx="5">
                  <c:v>-0.10833333333333334</c:v>
                </c:pt>
                <c:pt idx="6">
                  <c:v>0</c:v>
                </c:pt>
                <c:pt idx="7">
                  <c:v>0.10833333333333334</c:v>
                </c:pt>
                <c:pt idx="8">
                  <c:v>0.21666666666666667</c:v>
                </c:pt>
                <c:pt idx="9">
                  <c:v>0.32500000000000001</c:v>
                </c:pt>
                <c:pt idx="10">
                  <c:v>0.43333333333333335</c:v>
                </c:pt>
                <c:pt idx="11">
                  <c:v>0.54166666666666674</c:v>
                </c:pt>
                <c:pt idx="12" formatCode="General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2F-49B4-A60E-CC64C093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0006'!$C$1</c:f>
              <c:strCache>
                <c:ptCount val="1"/>
                <c:pt idx="0">
                  <c:v>Cd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0006'!$A$2:$A$14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0006'!$C$2:$C$14</c:f>
              <c:numCache>
                <c:formatCode>0.000</c:formatCode>
                <c:ptCount val="13"/>
                <c:pt idx="0">
                  <c:v>0.04</c:v>
                </c:pt>
                <c:pt idx="1">
                  <c:v>0.02</c:v>
                </c:pt>
                <c:pt idx="2" formatCode="General">
                  <c:v>1.4E-2</c:v>
                </c:pt>
                <c:pt idx="3">
                  <c:v>0.01</c:v>
                </c:pt>
                <c:pt idx="4" formatCode="General">
                  <c:v>8.0000000000000002E-3</c:v>
                </c:pt>
                <c:pt idx="5" formatCode="General">
                  <c:v>8.0000000000000002E-3</c:v>
                </c:pt>
                <c:pt idx="6" formatCode="General">
                  <c:v>8.0000000000000002E-3</c:v>
                </c:pt>
                <c:pt idx="7" formatCode="General">
                  <c:v>8.0000000000000002E-3</c:v>
                </c:pt>
                <c:pt idx="8" formatCode="General">
                  <c:v>8.0000000000000002E-3</c:v>
                </c:pt>
                <c:pt idx="9">
                  <c:v>0.01</c:v>
                </c:pt>
                <c:pt idx="10">
                  <c:v>1.4E-2</c:v>
                </c:pt>
                <c:pt idx="11">
                  <c:v>0.02</c:v>
                </c:pt>
                <c:pt idx="12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DF-4AD3-AC14-27E59A91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'NACA 0006'!$D$1</c:f>
              <c:strCache>
                <c:ptCount val="1"/>
                <c:pt idx="0">
                  <c:v>Cm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'NACA 0006'!$A$2:$A$14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'NACA 0006'!$D$2:$D$14</c:f>
              <c:numCache>
                <c:formatCode>0.000</c:formatCode>
                <c:ptCount val="13"/>
                <c:pt idx="0">
                  <c:v>-0.01</c:v>
                </c:pt>
                <c:pt idx="1">
                  <c:v>-0.01</c:v>
                </c:pt>
                <c:pt idx="2">
                  <c:v>-5.0000000000000001E-3</c:v>
                </c:pt>
                <c:pt idx="3">
                  <c:v>0</c:v>
                </c:pt>
                <c:pt idx="4">
                  <c:v>0.01</c:v>
                </c:pt>
                <c:pt idx="5">
                  <c:v>-0.01</c:v>
                </c:pt>
                <c:pt idx="6">
                  <c:v>0</c:v>
                </c:pt>
                <c:pt idx="7">
                  <c:v>0.01</c:v>
                </c:pt>
                <c:pt idx="8">
                  <c:v>-0.01</c:v>
                </c:pt>
                <c:pt idx="9">
                  <c:v>0</c:v>
                </c:pt>
                <c:pt idx="10">
                  <c:v>5.0000000000000001E-3</c:v>
                </c:pt>
                <c:pt idx="11">
                  <c:v>0.01</c:v>
                </c:pt>
                <c:pt idx="12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32-4F4D-A9F0-CE3E92D8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63088"/>
        <c:axId val="585664168"/>
      </c:scatterChart>
      <c:valAx>
        <c:axId val="5856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4168"/>
        <c:crosses val="autoZero"/>
        <c:crossBetween val="midCat"/>
      </c:valAx>
      <c:valAx>
        <c:axId val="58566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566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3</xdr:row>
      <xdr:rowOff>104775</xdr:rowOff>
    </xdr:from>
    <xdr:to>
      <xdr:col>12</xdr:col>
      <xdr:colOff>209499</xdr:colOff>
      <xdr:row>16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B9EE1E-7BBE-AE3D-5144-1DA4325F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1" y="676275"/>
          <a:ext cx="7219898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66674</xdr:rowOff>
    </xdr:from>
    <xdr:to>
      <xdr:col>12</xdr:col>
      <xdr:colOff>152400</xdr:colOff>
      <xdr:row>33</xdr:row>
      <xdr:rowOff>136641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754898-2939-D18C-0F1B-35F18EFDB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6174"/>
          <a:ext cx="7467599" cy="2736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76200</xdr:rowOff>
    </xdr:from>
    <xdr:to>
      <xdr:col>10</xdr:col>
      <xdr:colOff>533400</xdr:colOff>
      <xdr:row>54</xdr:row>
      <xdr:rowOff>126571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14A46F-BA4B-C4A3-616C-984523AA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24700"/>
          <a:ext cx="6629400" cy="32888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56</xdr:row>
      <xdr:rowOff>1</xdr:rowOff>
    </xdr:from>
    <xdr:to>
      <xdr:col>5</xdr:col>
      <xdr:colOff>17473</xdr:colOff>
      <xdr:row>65</xdr:row>
      <xdr:rowOff>152401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80D22B-FB72-CC8D-36DC-BB4232D9B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668001"/>
          <a:ext cx="3065472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57150</xdr:rowOff>
    </xdr:from>
    <xdr:to>
      <xdr:col>16</xdr:col>
      <xdr:colOff>28574</xdr:colOff>
      <xdr:row>98</xdr:row>
      <xdr:rowOff>187335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10BE9C-5D60-E923-D29E-42FF39F2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773150"/>
          <a:ext cx="9782174" cy="508318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99</xdr:row>
      <xdr:rowOff>19050</xdr:rowOff>
    </xdr:from>
    <xdr:to>
      <xdr:col>10</xdr:col>
      <xdr:colOff>28889</xdr:colOff>
      <xdr:row>101</xdr:row>
      <xdr:rowOff>133419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610F29-71E7-D684-E376-5984FE77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76675" y="18878550"/>
          <a:ext cx="2248214" cy="495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85725</xdr:rowOff>
    </xdr:from>
    <xdr:to>
      <xdr:col>20</xdr:col>
      <xdr:colOff>86870</xdr:colOff>
      <xdr:row>27</xdr:row>
      <xdr:rowOff>38731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199B88-6DEE-93E7-D471-501ABB89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657225"/>
          <a:ext cx="8202170" cy="45250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142875</xdr:rowOff>
    </xdr:from>
    <xdr:to>
      <xdr:col>24</xdr:col>
      <xdr:colOff>106151</xdr:colOff>
      <xdr:row>25</xdr:row>
      <xdr:rowOff>172066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0C8309-170C-BE86-4DD2-378E9766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714375"/>
          <a:ext cx="9859751" cy="4410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123825</xdr:rowOff>
    </xdr:from>
    <xdr:to>
      <xdr:col>16</xdr:col>
      <xdr:colOff>353067</xdr:colOff>
      <xdr:row>22</xdr:row>
      <xdr:rowOff>133883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BFC4A-66E4-B0F9-ED61-51CA7CA2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675" y="695325"/>
          <a:ext cx="4601217" cy="3820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61912</xdr:rowOff>
    </xdr:from>
    <xdr:to>
      <xdr:col>14</xdr:col>
      <xdr:colOff>295275</xdr:colOff>
      <xdr:row>14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4251E0-A9AA-4188-88A2-69E634A2B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304800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CB7300-DC8F-42BA-BF65-F7D0392DF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352425</xdr:colOff>
      <xdr:row>0</xdr:row>
      <xdr:rowOff>57150</xdr:rowOff>
    </xdr:from>
    <xdr:to>
      <xdr:col>22</xdr:col>
      <xdr:colOff>47625</xdr:colOff>
      <xdr:row>14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94775C-E81E-45B4-ACA2-099A7A4F9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61912</xdr:rowOff>
    </xdr:from>
    <xdr:to>
      <xdr:col>14</xdr:col>
      <xdr:colOff>295275</xdr:colOff>
      <xdr:row>14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C06DB0-FC92-9D6D-9A38-E17F7238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304800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242AFE-87EA-4F32-B6DE-E16E54D4B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352425</xdr:colOff>
      <xdr:row>0</xdr:row>
      <xdr:rowOff>57150</xdr:rowOff>
    </xdr:from>
    <xdr:to>
      <xdr:col>22</xdr:col>
      <xdr:colOff>47625</xdr:colOff>
      <xdr:row>14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949CFC-3B7A-465F-8AAF-FA08C5F39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CAF370-7FC7-4D45-A049-5B347F8BDE00}" name="Table1" displayName="Table1" ref="A1:G21" totalsRowShown="0" headerRowDxfId="27">
  <autoFilter ref="A1:G21" xr:uid="{1ACAF370-7FC7-4D45-A049-5B347F8BDE00}"/>
  <tableColumns count="7">
    <tableColumn id="1" xr3:uid="{ADE772F7-D432-45E9-AEB9-59EB5D857785}" name="ID CENTINA" dataDxfId="26"/>
    <tableColumn id="2" xr3:uid="{65AEA517-BB5F-4B42-AF72-C5367E6F6FDB}" name="OFFSET" dataDxfId="25"/>
    <tableColumn id="3" xr3:uid="{DB18A60F-45FC-40BE-9085-B12891C34953}" name="CORDA" dataDxfId="24"/>
    <tableColumn id="4" xr3:uid="{41C3AD4F-23DB-48F2-B2A8-4A95D7D3BF99}" name="C.A. (% corda)" dataDxfId="23"/>
    <tableColumn id="5" xr3:uid="{36D04DDE-B690-47D2-96AA-E3C3E56FDEE3}" name="C.A." dataDxfId="22">
      <calculatedColumnFormula>Table1[[#This Row],[CORDA]]*Table1[[#This Row],[C.A. (% corda)]]</calculatedColumnFormula>
    </tableColumn>
    <tableColumn id="6" xr3:uid="{80F7C2D3-90A8-4CF6-9968-9FCE3458C3D0}" name="dist C.A. - ref" dataDxfId="21">
      <calculatedColumnFormula>Table1[[#This Row],[C.A.]]+Table1[[#This Row],[OFFSET]]</calculatedColumnFormula>
    </tableColumn>
    <tableColumn id="7" xr3:uid="{E121D6AE-1D5E-45CC-8413-6B990F9D29AD}" name="Aux" dataDxfId="20">
      <calculatedColumnFormula>Table1[[#This Row],[dist C.A. - ref]]*Table1[[#This Row],[CORDA]]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03C4BA-DE95-4E3C-8233-957C5D7E6AC1}" name="Table13" displayName="Table13" ref="A1:G21" totalsRowShown="0" headerRowDxfId="19">
  <autoFilter ref="A1:G21" xr:uid="{1ACAF370-7FC7-4D45-A049-5B347F8BDE00}"/>
  <tableColumns count="7">
    <tableColumn id="1" xr3:uid="{FBB08DB7-36DF-4064-B0AE-A37D729A2004}" name="ID CENTINA" dataDxfId="18"/>
    <tableColumn id="2" xr3:uid="{79E62325-D728-471B-96A2-E0B7D317059B}" name="OFFSET" dataDxfId="17"/>
    <tableColumn id="3" xr3:uid="{DA3E1EFE-AD7B-437E-90D0-7047BBAC9BD7}" name="CORDA" dataDxfId="16"/>
    <tableColumn id="4" xr3:uid="{CB5B3AA3-3AC0-4C27-9610-CABEF259F1C1}" name="C.A. (% corda)" dataDxfId="15"/>
    <tableColumn id="5" xr3:uid="{49EFF4ED-181D-4F76-8EC6-BD9CC99D89E2}" name="C.A." dataDxfId="14">
      <calculatedColumnFormula>Table13[[#This Row],[CORDA]]*Table13[[#This Row],[C.A. (% corda)]]</calculatedColumnFormula>
    </tableColumn>
    <tableColumn id="6" xr3:uid="{5CA3AC2B-C58C-4D0D-BF9F-5DDC31458316}" name="dist C.A. - ref" dataDxfId="13">
      <calculatedColumnFormula>Table13[[#This Row],[C.A.]]+Table13[[#This Row],[OFFSET]]</calculatedColumnFormula>
    </tableColumn>
    <tableColumn id="7" xr3:uid="{D156EF65-8CF6-4CB3-AED8-3652A0DD4029}" name="Aux" dataDxfId="12">
      <calculatedColumnFormula>Table13[[#This Row],[dist C.A. - ref]]*Table13[[#This Row],[CORDA]]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D6D66F-22A1-4429-BA63-3D73E190678C}" name="Table35" displayName="Table35" ref="A1:D14" totalsRowShown="0" headerRowDxfId="11" dataDxfId="10">
  <autoFilter ref="A1:D14" xr:uid="{F800D328-2D8D-4AC3-9DBD-7F8CB2F7578B}"/>
  <tableColumns count="4">
    <tableColumn id="1" xr3:uid="{5F7ED920-B512-4765-B115-FE8722F3F50D}" name="Alpha" dataDxfId="9"/>
    <tableColumn id="2" xr3:uid="{5C519005-9A3E-498D-8F95-1C8A7E5A71E9}" name="Cl" dataDxfId="8"/>
    <tableColumn id="3" xr3:uid="{23C61EE8-A36D-42F3-BB28-87AD8B36D2D3}" name="Cd" dataDxfId="7"/>
    <tableColumn id="4" xr3:uid="{96B76B54-2418-4CFD-BE83-2F2AEB302BB0}" name="Cm" dataDxfId="6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00D328-2D8D-4AC3-9DBD-7F8CB2F7578B}" name="Table3" displayName="Table3" ref="A1:D14" totalsRowShown="0" headerRowDxfId="5" dataDxfId="4">
  <autoFilter ref="A1:D14" xr:uid="{F800D328-2D8D-4AC3-9DBD-7F8CB2F7578B}"/>
  <tableColumns count="4">
    <tableColumn id="1" xr3:uid="{3D1E8048-E1EA-4CF8-91F7-A8FEA1DCE17A}" name="Alpha" dataDxfId="3"/>
    <tableColumn id="2" xr3:uid="{9FB178BA-56A3-4EB6-9C54-AA5BE461BDCD}" name="Cl" dataDxfId="2"/>
    <tableColumn id="3" xr3:uid="{F83E6660-AE55-4ECE-AFAE-CAF7C2757199}" name="Cd" dataDxfId="1"/>
    <tableColumn id="4" xr3:uid="{946C2EEC-8B3F-4A28-8D54-15E8234025E5}" name="Cm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hyperlink" Target="http://airfoiltools.com/airfoil/details?airfoil=naca4412-i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hyperlink" Target="http://airfoiltools.com/airfoil/details?airfoil=naca0006-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672D-983B-4F20-A846-0B2446EF8977}">
  <dimension ref="A1:A106"/>
  <sheetViews>
    <sheetView showGridLines="0" tabSelected="1" topLeftCell="A73" workbookViewId="0">
      <selection activeCell="M100" sqref="M100"/>
    </sheetView>
  </sheetViews>
  <sheetFormatPr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36" spans="1:1" x14ac:dyDescent="0.25">
      <c r="A36" t="s">
        <v>55</v>
      </c>
    </row>
    <row r="37" spans="1:1" x14ac:dyDescent="0.25">
      <c r="A37" t="s">
        <v>56</v>
      </c>
    </row>
    <row r="56" spans="1:1" x14ac:dyDescent="0.25">
      <c r="A56" t="s">
        <v>57</v>
      </c>
    </row>
    <row r="68" spans="1:1" x14ac:dyDescent="0.25">
      <c r="A68" t="s">
        <v>58</v>
      </c>
    </row>
    <row r="69" spans="1:1" x14ac:dyDescent="0.25">
      <c r="A69" t="s">
        <v>59</v>
      </c>
    </row>
    <row r="70" spans="1:1" x14ac:dyDescent="0.25">
      <c r="A70" t="s">
        <v>60</v>
      </c>
    </row>
    <row r="71" spans="1:1" x14ac:dyDescent="0.25">
      <c r="A71" t="s">
        <v>61</v>
      </c>
    </row>
    <row r="72" spans="1:1" x14ac:dyDescent="0.25">
      <c r="A72" t="s">
        <v>62</v>
      </c>
    </row>
    <row r="104" spans="1:1" x14ac:dyDescent="0.25">
      <c r="A104" t="s">
        <v>63</v>
      </c>
    </row>
    <row r="106" spans="1:1" x14ac:dyDescent="0.25">
      <c r="A106" t="s">
        <v>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AABB-C8E2-4477-9F3B-8211DEBE8034}">
  <dimension ref="A1:K41"/>
  <sheetViews>
    <sheetView showGridLines="0" topLeftCell="A7" zoomScale="90" zoomScaleNormal="90" workbookViewId="0">
      <selection activeCell="O42" sqref="O42"/>
    </sheetView>
  </sheetViews>
  <sheetFormatPr defaultRowHeight="15" x14ac:dyDescent="0.25"/>
  <cols>
    <col min="1" max="1" width="27.5703125" bestFit="1" customWidth="1"/>
    <col min="2" max="2" width="12" bestFit="1" customWidth="1"/>
    <col min="18" max="18" width="12" bestFit="1" customWidth="1"/>
  </cols>
  <sheetData>
    <row r="1" spans="1:4" x14ac:dyDescent="0.25">
      <c r="A1" s="12" t="s">
        <v>9</v>
      </c>
    </row>
    <row r="3" spans="1:4" x14ac:dyDescent="0.25">
      <c r="A3" t="s">
        <v>12</v>
      </c>
      <c r="B3" s="5">
        <f>'C.A. ala'!K2</f>
        <v>155.86583229743474</v>
      </c>
      <c r="C3" t="s">
        <v>14</v>
      </c>
    </row>
    <row r="4" spans="1:4" x14ac:dyDescent="0.25">
      <c r="A4" t="s">
        <v>13</v>
      </c>
      <c r="B4" s="5">
        <f>'C.A. piani coda'!K2</f>
        <v>57.079180822952054</v>
      </c>
      <c r="C4" t="s">
        <v>15</v>
      </c>
    </row>
    <row r="5" spans="1:4" x14ac:dyDescent="0.25">
      <c r="A5" t="s">
        <v>16</v>
      </c>
      <c r="B5" s="3">
        <v>1089</v>
      </c>
    </row>
    <row r="6" spans="1:4" x14ac:dyDescent="0.25">
      <c r="A6" t="s">
        <v>31</v>
      </c>
      <c r="B6" s="3">
        <v>25</v>
      </c>
      <c r="C6" t="s">
        <v>32</v>
      </c>
    </row>
    <row r="7" spans="1:4" x14ac:dyDescent="0.25">
      <c r="A7" t="s">
        <v>22</v>
      </c>
      <c r="B7" s="17">
        <f>AVERAGE(I32:I38)</f>
        <v>19.638344106464025</v>
      </c>
      <c r="C7" t="s">
        <v>23</v>
      </c>
    </row>
    <row r="8" spans="1:4" x14ac:dyDescent="0.25">
      <c r="A8" s="15" t="s">
        <v>41</v>
      </c>
      <c r="B8" s="15"/>
      <c r="C8" s="15"/>
      <c r="D8" s="15"/>
    </row>
    <row r="9" spans="1:4" x14ac:dyDescent="0.25">
      <c r="A9" t="s">
        <v>27</v>
      </c>
      <c r="B9">
        <f>'C.A. ala'!S2</f>
        <v>442.45</v>
      </c>
    </row>
    <row r="10" spans="1:4" x14ac:dyDescent="0.25">
      <c r="A10" t="s">
        <v>26</v>
      </c>
      <c r="B10" s="5">
        <f>(B7/3.6)*(B9/1000)*1.225/(1.789*0.00001)</f>
        <v>165269.34745720198</v>
      </c>
      <c r="C10" t="s">
        <v>14</v>
      </c>
    </row>
    <row r="11" spans="1:4" x14ac:dyDescent="0.25">
      <c r="A11" t="s">
        <v>42</v>
      </c>
      <c r="B11" s="3">
        <v>4000</v>
      </c>
      <c r="C11" t="s">
        <v>45</v>
      </c>
    </row>
    <row r="12" spans="1:4" x14ac:dyDescent="0.25">
      <c r="A12" t="s">
        <v>43</v>
      </c>
      <c r="B12" s="10">
        <f>B11*B9/1000000</f>
        <v>1.7698</v>
      </c>
      <c r="C12" t="s">
        <v>44</v>
      </c>
    </row>
    <row r="14" spans="1:4" x14ac:dyDescent="0.25">
      <c r="A14" s="15" t="s">
        <v>46</v>
      </c>
      <c r="B14" s="15"/>
      <c r="C14" s="15"/>
      <c r="D14" s="15"/>
    </row>
    <row r="15" spans="1:4" x14ac:dyDescent="0.25">
      <c r="A15" t="s">
        <v>28</v>
      </c>
      <c r="B15">
        <f>'C.A. piani coda'!S2</f>
        <v>264.89999999999998</v>
      </c>
    </row>
    <row r="16" spans="1:4" x14ac:dyDescent="0.25">
      <c r="A16" t="s">
        <v>29</v>
      </c>
      <c r="B16" s="5">
        <f>(B7/3.6)*(B15/1000)*1.225/(1.789*0.00001)</f>
        <v>98948.695087383428</v>
      </c>
      <c r="C16" t="s">
        <v>14</v>
      </c>
    </row>
    <row r="17" spans="1:10" x14ac:dyDescent="0.25">
      <c r="A17" t="s">
        <v>47</v>
      </c>
      <c r="B17" s="3">
        <v>1340</v>
      </c>
      <c r="C17" t="s">
        <v>45</v>
      </c>
    </row>
    <row r="18" spans="1:10" x14ac:dyDescent="0.25">
      <c r="A18" t="s">
        <v>43</v>
      </c>
      <c r="B18" s="10">
        <f>B17*B15/1000000</f>
        <v>0.35496599999999995</v>
      </c>
      <c r="C18" t="s">
        <v>44</v>
      </c>
    </row>
    <row r="28" spans="1:10" x14ac:dyDescent="0.25">
      <c r="A28" t="s">
        <v>40</v>
      </c>
      <c r="D28" s="5">
        <f>B5-B3+B4</f>
        <v>990.21334852551729</v>
      </c>
    </row>
    <row r="31" spans="1:10" x14ac:dyDescent="0.25">
      <c r="B31" s="11" t="s">
        <v>33</v>
      </c>
      <c r="C31" s="11" t="s">
        <v>34</v>
      </c>
      <c r="D31" s="11" t="s">
        <v>35</v>
      </c>
      <c r="E31" s="11" t="s">
        <v>36</v>
      </c>
      <c r="F31" s="11" t="s">
        <v>37</v>
      </c>
      <c r="G31" s="11" t="s">
        <v>38</v>
      </c>
      <c r="H31" s="11" t="s">
        <v>39</v>
      </c>
      <c r="I31" s="11" t="s">
        <v>48</v>
      </c>
      <c r="J31" s="11" t="s">
        <v>49</v>
      </c>
    </row>
    <row r="32" spans="1:10" x14ac:dyDescent="0.25">
      <c r="B32">
        <v>0</v>
      </c>
      <c r="C32" s="10">
        <f>SUMIF('NACA 4412'!$A:$A,Riepilogo!$B32,'NACA 4412'!B:B)</f>
        <v>0.45000000000000007</v>
      </c>
      <c r="D32" s="10">
        <f>SUMIF('NACA 4412'!$A:$A,Riepilogo!$B32,'NACA 4412'!C:C)</f>
        <v>6.0000000000000001E-3</v>
      </c>
      <c r="E32" s="10">
        <f>SUMIF('NACA 4412'!$A:$A,Riepilogo!$B32,'NACA 4412'!D:D)</f>
        <v>-0.11</v>
      </c>
      <c r="F32" s="10">
        <f>SUMIF('NACA 0006'!$A:$A,Riepilogo!$B32,'NACA 0006'!B:B)</f>
        <v>0</v>
      </c>
      <c r="G32" s="10">
        <f>SUMIF('NACA 0006'!$A:$A,Riepilogo!$B32,'NACA 0006'!C:C)</f>
        <v>8.0000000000000002E-3</v>
      </c>
      <c r="H32" s="10">
        <f>SUMIF('NACA 0006'!$A:$A,Riepilogo!$B32,'NACA 0006'!D:D)</f>
        <v>0</v>
      </c>
      <c r="I32" s="10">
        <f t="shared" ref="I32:I38" si="0">SQRT(2*$B$6/1.225/($B$12*C32+$B$18*F32))*3.6</f>
        <v>25.772177056431744</v>
      </c>
      <c r="J32" s="19">
        <f>$B$3+1.225*(I32/3.6)^2/2/I32/9.81/COS(RADIANS(B32))*($B$18*F32*$D$28*COS(RADIANS(B32))+$B$18*G32*$D$28*SIN(RADIANS(B32))-$B$12*$B$9*E32-$B$18*$B$15*H32)</f>
        <v>166.56042540466868</v>
      </c>
    </row>
    <row r="33" spans="2:11" x14ac:dyDescent="0.25">
      <c r="B33">
        <v>1</v>
      </c>
      <c r="C33" s="10">
        <f>SUMIF('NACA 4412'!$A:$A,Riepilogo!$B33,'NACA 4412'!B:B)</f>
        <v>0.55833333333333335</v>
      </c>
      <c r="D33" s="10">
        <f>SUMIF('NACA 4412'!$A:$A,Riepilogo!$B33,'NACA 4412'!C:C)</f>
        <v>7.0000000000000001E-3</v>
      </c>
      <c r="E33" s="10">
        <f>SUMIF('NACA 4412'!$A:$A,Riepilogo!$B33,'NACA 4412'!D:D)</f>
        <v>-0.1</v>
      </c>
      <c r="F33" s="10">
        <f>SUMIF('NACA 0006'!$A:$A,Riepilogo!$B33,'NACA 0006'!B:B)</f>
        <v>0.10833333333333334</v>
      </c>
      <c r="G33" s="10">
        <f>SUMIF('NACA 0006'!$A:$A,Riepilogo!$B33,'NACA 0006'!C:C)</f>
        <v>8.0000000000000002E-3</v>
      </c>
      <c r="H33" s="10">
        <f>SUMIF('NACA 0006'!$A:$A,Riepilogo!$B33,'NACA 0006'!D:D)</f>
        <v>0.01</v>
      </c>
      <c r="I33" s="10">
        <f t="shared" si="0"/>
        <v>22.699710203656945</v>
      </c>
      <c r="J33" s="19">
        <f t="shared" ref="J33:J38" si="1">$B$3+1.225*(I33/3.6)^2/2/I33/9.81/COS(RADIANS(B33))*($B$18*F33*$D$28*COS(RADIANS(B33))+$B$18*G33*$D$28*SIN(RADIANS(B33))-$B$12*$B$9*E33-$B$18*$B$15*H33)</f>
        <v>168.4971362192934</v>
      </c>
    </row>
    <row r="34" spans="2:11" x14ac:dyDescent="0.25">
      <c r="B34">
        <v>2</v>
      </c>
      <c r="C34" s="10">
        <f>SUMIF('NACA 4412'!$A:$A,Riepilogo!$B34,'NACA 4412'!B:B)</f>
        <v>0.66666666666666674</v>
      </c>
      <c r="D34" s="10">
        <f>SUMIF('NACA 4412'!$A:$A,Riepilogo!$B34,'NACA 4412'!C:C)</f>
        <v>8.0000000000000002E-3</v>
      </c>
      <c r="E34" s="10">
        <f>SUMIF('NACA 4412'!$A:$A,Riepilogo!$B34,'NACA 4412'!D:D)</f>
        <v>-9.8000000000000004E-2</v>
      </c>
      <c r="F34" s="10">
        <f>SUMIF('NACA 0006'!$A:$A,Riepilogo!$B34,'NACA 0006'!B:B)</f>
        <v>0.21666666666666667</v>
      </c>
      <c r="G34" s="10">
        <f>SUMIF('NACA 0006'!$A:$A,Riepilogo!$B34,'NACA 0006'!C:C)</f>
        <v>8.0000000000000002E-3</v>
      </c>
      <c r="H34" s="10">
        <f>SUMIF('NACA 0006'!$A:$A,Riepilogo!$B34,'NACA 0006'!D:D)</f>
        <v>-0.01</v>
      </c>
      <c r="I34" s="10">
        <f t="shared" si="0"/>
        <v>20.515897709167614</v>
      </c>
      <c r="J34" s="19">
        <f t="shared" si="1"/>
        <v>171.08497615141431</v>
      </c>
    </row>
    <row r="35" spans="2:11" x14ac:dyDescent="0.25">
      <c r="B35">
        <v>3</v>
      </c>
      <c r="C35" s="10">
        <f>SUMIF('NACA 4412'!$A:$A,Riepilogo!$B35,'NACA 4412'!B:B)</f>
        <v>0.77500000000000013</v>
      </c>
      <c r="D35" s="10">
        <f>SUMIF('NACA 4412'!$A:$A,Riepilogo!$B35,'NACA 4412'!C:C)</f>
        <v>8.9999999999999993E-3</v>
      </c>
      <c r="E35" s="10">
        <f>SUMIF('NACA 4412'!$A:$A,Riepilogo!$B35,'NACA 4412'!D:D)</f>
        <v>-9.6000000000000002E-2</v>
      </c>
      <c r="F35" s="10">
        <f>SUMIF('NACA 0006'!$A:$A,Riepilogo!$B35,'NACA 0006'!B:B)</f>
        <v>0.32500000000000001</v>
      </c>
      <c r="G35" s="10">
        <f>SUMIF('NACA 0006'!$A:$A,Riepilogo!$B35,'NACA 0006'!C:C)</f>
        <v>0.01</v>
      </c>
      <c r="H35" s="10">
        <f>SUMIF('NACA 0006'!$A:$A,Riepilogo!$B35,'NACA 0006'!D:D)</f>
        <v>0</v>
      </c>
      <c r="I35" s="10">
        <f t="shared" si="0"/>
        <v>18.861228172690776</v>
      </c>
      <c r="J35" s="19">
        <f t="shared" si="1"/>
        <v>173.10267496834106</v>
      </c>
    </row>
    <row r="36" spans="2:11" x14ac:dyDescent="0.25">
      <c r="B36">
        <v>4</v>
      </c>
      <c r="C36" s="10">
        <f>SUMIF('NACA 4412'!$A:$A,Riepilogo!$B36,'NACA 4412'!B:B)</f>
        <v>0.88333333333333341</v>
      </c>
      <c r="D36" s="10">
        <f>SUMIF('NACA 4412'!$A:$A,Riepilogo!$B36,'NACA 4412'!C:C)</f>
        <v>9.4999999999999998E-3</v>
      </c>
      <c r="E36" s="10">
        <f>SUMIF('NACA 4412'!$A:$A,Riepilogo!$B36,'NACA 4412'!D:D)</f>
        <v>-9.6000000000000002E-2</v>
      </c>
      <c r="F36" s="10">
        <f>SUMIF('NACA 0006'!$A:$A,Riepilogo!$B36,'NACA 0006'!B:B)</f>
        <v>0.43333333333333335</v>
      </c>
      <c r="G36" s="10">
        <f>SUMIF('NACA 0006'!$A:$A,Riepilogo!$B36,'NACA 0006'!C:C)</f>
        <v>1.4E-2</v>
      </c>
      <c r="H36" s="10">
        <f>SUMIF('NACA 0006'!$A:$A,Riepilogo!$B36,'NACA 0006'!D:D)</f>
        <v>5.0000000000000001E-3</v>
      </c>
      <c r="I36" s="10">
        <f t="shared" si="0"/>
        <v>17.551585806037753</v>
      </c>
      <c r="J36" s="19">
        <f t="shared" si="1"/>
        <v>175.10606891168007</v>
      </c>
    </row>
    <row r="37" spans="2:11" x14ac:dyDescent="0.25">
      <c r="B37">
        <v>5</v>
      </c>
      <c r="C37" s="10">
        <f>SUMIF('NACA 4412'!$A:$A,Riepilogo!$B37,'NACA 4412'!B:B)</f>
        <v>0.99166666666666681</v>
      </c>
      <c r="D37" s="10">
        <f>SUMIF('NACA 4412'!$A:$A,Riepilogo!$B37,'NACA 4412'!C:C)</f>
        <v>0.01</v>
      </c>
      <c r="E37" s="10">
        <f>SUMIF('NACA 4412'!$A:$A,Riepilogo!$B37,'NACA 4412'!D:D)</f>
        <v>-9.6000000000000002E-2</v>
      </c>
      <c r="F37" s="10">
        <f>SUMIF('NACA 0006'!$A:$A,Riepilogo!$B37,'NACA 0006'!B:B)</f>
        <v>0.54166666666666674</v>
      </c>
      <c r="G37" s="10">
        <f>SUMIF('NACA 0006'!$A:$A,Riepilogo!$B37,'NACA 0006'!C:C)</f>
        <v>0.02</v>
      </c>
      <c r="H37" s="10">
        <f>SUMIF('NACA 0006'!$A:$A,Riepilogo!$B37,'NACA 0006'!D:D)</f>
        <v>0.01</v>
      </c>
      <c r="I37" s="10">
        <f t="shared" si="0"/>
        <v>16.481633333433933</v>
      </c>
      <c r="J37" s="19">
        <f t="shared" si="1"/>
        <v>176.94888748009859</v>
      </c>
    </row>
    <row r="38" spans="2:11" x14ac:dyDescent="0.25">
      <c r="B38">
        <v>6</v>
      </c>
      <c r="C38" s="10">
        <f>SUMIF('NACA 4412'!$A:$A,Riepilogo!$B38,'NACA 4412'!B:B)</f>
        <v>1.1000000000000001</v>
      </c>
      <c r="D38" s="10">
        <f>SUMIF('NACA 4412'!$A:$A,Riepilogo!$B38,'NACA 4412'!C:C)</f>
        <v>1.0999999999999999E-2</v>
      </c>
      <c r="E38" s="10">
        <f>SUMIF('NACA 4412'!$A:$A,Riepilogo!$B38,'NACA 4412'!D:D)</f>
        <v>-9.4E-2</v>
      </c>
      <c r="F38" s="10">
        <f>SUMIF('NACA 0006'!$A:$A,Riepilogo!$B38,'NACA 0006'!B:B)</f>
        <v>0.65</v>
      </c>
      <c r="G38" s="10">
        <f>SUMIF('NACA 0006'!$A:$A,Riepilogo!$B38,'NACA 0006'!C:C)</f>
        <v>0.04</v>
      </c>
      <c r="H38" s="10">
        <f>SUMIF('NACA 0006'!$A:$A,Riepilogo!$B38,'NACA 0006'!D:D)</f>
        <v>0.01</v>
      </c>
      <c r="I38" s="10">
        <f t="shared" si="0"/>
        <v>15.586176463829428</v>
      </c>
      <c r="J38" s="19">
        <f t="shared" si="1"/>
        <v>178.61861099405641</v>
      </c>
    </row>
    <row r="40" spans="2:11" x14ac:dyDescent="0.25">
      <c r="I40" s="18" t="s">
        <v>64</v>
      </c>
      <c r="J40" s="20">
        <f>AVERAGE(J32:J38)</f>
        <v>172.84554001850751</v>
      </c>
    </row>
    <row r="41" spans="2:11" x14ac:dyDescent="0.25">
      <c r="I41" s="18" t="s">
        <v>65</v>
      </c>
      <c r="J41" s="21">
        <f>ABS(J40-B3)</f>
        <v>16.979707721072771</v>
      </c>
      <c r="K41" s="22" t="str">
        <f>IF(J40-B3&lt;0,"Avanzato","Indietreggiato")</f>
        <v>Indietreggiato</v>
      </c>
    </row>
  </sheetData>
  <mergeCells count="2">
    <mergeCell ref="A8:D8"/>
    <mergeCell ref="A14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B9E5-673D-4288-90EB-47F9CC178957}">
  <dimension ref="A1:S21"/>
  <sheetViews>
    <sheetView showGridLines="0" workbookViewId="0">
      <selection activeCell="M33" sqref="M33"/>
    </sheetView>
  </sheetViews>
  <sheetFormatPr defaultRowHeight="15" x14ac:dyDescent="0.25"/>
  <cols>
    <col min="1" max="1" width="9.5703125" customWidth="1"/>
    <col min="2" max="2" width="12.140625" customWidth="1"/>
    <col min="3" max="3" width="12.28515625" customWidth="1"/>
    <col min="4" max="4" width="11.5703125" customWidth="1"/>
    <col min="5" max="5" width="10" customWidth="1"/>
  </cols>
  <sheetData>
    <row r="1" spans="1:19" s="1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6" t="s">
        <v>8</v>
      </c>
      <c r="K1" s="16"/>
    </row>
    <row r="2" spans="1:19" x14ac:dyDescent="0.25">
      <c r="A2" s="3">
        <v>1</v>
      </c>
      <c r="B2" s="3">
        <v>0</v>
      </c>
      <c r="C2" s="3">
        <v>550</v>
      </c>
      <c r="D2" s="4">
        <v>0.25</v>
      </c>
      <c r="E2" s="2">
        <f>Table1[[#This Row],[CORDA]]*Table1[[#This Row],[C.A. (% corda)]]</f>
        <v>137.5</v>
      </c>
      <c r="F2" s="2">
        <f>Table1[[#This Row],[C.A.]]+Table1[[#This Row],[OFFSET]]</f>
        <v>137.5</v>
      </c>
      <c r="G2" s="5">
        <f>Table1[[#This Row],[dist C.A. - ref]]*Table1[[#This Row],[CORDA]]</f>
        <v>75625</v>
      </c>
      <c r="J2" s="6" t="s">
        <v>7</v>
      </c>
      <c r="K2" s="7">
        <f>SUM(G:G)/SUM(C:C)</f>
        <v>155.86583229743474</v>
      </c>
      <c r="M2" s="12" t="s">
        <v>9</v>
      </c>
      <c r="N2" s="12"/>
      <c r="O2" s="12"/>
      <c r="Q2" t="s">
        <v>24</v>
      </c>
      <c r="S2">
        <f>AVERAGE(C:C)</f>
        <v>442.45</v>
      </c>
    </row>
    <row r="3" spans="1:19" x14ac:dyDescent="0.25">
      <c r="A3" s="3">
        <v>2</v>
      </c>
      <c r="B3" s="3">
        <v>3</v>
      </c>
      <c r="C3" s="3">
        <v>550</v>
      </c>
      <c r="D3" s="4">
        <v>0.25</v>
      </c>
      <c r="E3" s="2">
        <f>Table1[[#This Row],[CORDA]]*Table1[[#This Row],[C.A. (% corda)]]</f>
        <v>137.5</v>
      </c>
      <c r="F3" s="2">
        <f>Table1[[#This Row],[C.A.]]+Table1[[#This Row],[OFFSET]]</f>
        <v>140.5</v>
      </c>
      <c r="G3" s="5">
        <f>Table1[[#This Row],[dist C.A. - ref]]*Table1[[#This Row],[CORDA]]</f>
        <v>77275</v>
      </c>
    </row>
    <row r="4" spans="1:19" x14ac:dyDescent="0.25">
      <c r="A4" s="3">
        <v>3</v>
      </c>
      <c r="B4" s="3">
        <v>5</v>
      </c>
      <c r="C4" s="3">
        <v>545</v>
      </c>
      <c r="D4" s="4">
        <v>0.25</v>
      </c>
      <c r="E4" s="2">
        <f>Table1[[#This Row],[CORDA]]*Table1[[#This Row],[C.A. (% corda)]]</f>
        <v>136.25</v>
      </c>
      <c r="F4" s="2">
        <f>Table1[[#This Row],[C.A.]]+Table1[[#This Row],[OFFSET]]</f>
        <v>141.25</v>
      </c>
      <c r="G4" s="5">
        <f>Table1[[#This Row],[dist C.A. - ref]]*Table1[[#This Row],[CORDA]]</f>
        <v>76981.25</v>
      </c>
    </row>
    <row r="5" spans="1:19" x14ac:dyDescent="0.25">
      <c r="A5" s="3">
        <v>4</v>
      </c>
      <c r="B5" s="3">
        <v>9</v>
      </c>
      <c r="C5" s="3">
        <v>540</v>
      </c>
      <c r="D5" s="4">
        <v>0.25</v>
      </c>
      <c r="E5" s="2">
        <f>Table1[[#This Row],[CORDA]]*Table1[[#This Row],[C.A. (% corda)]]</f>
        <v>135</v>
      </c>
      <c r="F5" s="2">
        <f>Table1[[#This Row],[C.A.]]+Table1[[#This Row],[OFFSET]]</f>
        <v>144</v>
      </c>
      <c r="G5" s="5">
        <f>Table1[[#This Row],[dist C.A. - ref]]*Table1[[#This Row],[CORDA]]</f>
        <v>77760</v>
      </c>
    </row>
    <row r="6" spans="1:19" x14ac:dyDescent="0.25">
      <c r="A6" s="3">
        <v>5</v>
      </c>
      <c r="B6" s="3">
        <v>12</v>
      </c>
      <c r="C6" s="3">
        <v>534</v>
      </c>
      <c r="D6" s="4">
        <v>0.25</v>
      </c>
      <c r="E6" s="2">
        <f>Table1[[#This Row],[CORDA]]*Table1[[#This Row],[C.A. (% corda)]]</f>
        <v>133.5</v>
      </c>
      <c r="F6" s="2">
        <f>Table1[[#This Row],[C.A.]]+Table1[[#This Row],[OFFSET]]</f>
        <v>145.5</v>
      </c>
      <c r="G6" s="5">
        <f>Table1[[#This Row],[dist C.A. - ref]]*Table1[[#This Row],[CORDA]]</f>
        <v>77697</v>
      </c>
    </row>
    <row r="7" spans="1:19" x14ac:dyDescent="0.25">
      <c r="A7" s="3">
        <v>6</v>
      </c>
      <c r="B7" s="3">
        <v>15</v>
      </c>
      <c r="C7" s="3">
        <v>527</v>
      </c>
      <c r="D7" s="4">
        <v>0.25</v>
      </c>
      <c r="E7" s="2">
        <f>Table1[[#This Row],[CORDA]]*Table1[[#This Row],[C.A. (% corda)]]</f>
        <v>131.75</v>
      </c>
      <c r="F7" s="2">
        <f>Table1[[#This Row],[C.A.]]+Table1[[#This Row],[OFFSET]]</f>
        <v>146.75</v>
      </c>
      <c r="G7" s="5">
        <f>Table1[[#This Row],[dist C.A. - ref]]*Table1[[#This Row],[CORDA]]</f>
        <v>77337.25</v>
      </c>
    </row>
    <row r="8" spans="1:19" x14ac:dyDescent="0.25">
      <c r="A8" s="3">
        <v>7</v>
      </c>
      <c r="B8" s="3">
        <v>19</v>
      </c>
      <c r="C8" s="3">
        <v>519</v>
      </c>
      <c r="D8" s="4">
        <v>0.25</v>
      </c>
      <c r="E8" s="2">
        <f>Table1[[#This Row],[CORDA]]*Table1[[#This Row],[C.A. (% corda)]]</f>
        <v>129.75</v>
      </c>
      <c r="F8" s="2">
        <f>Table1[[#This Row],[C.A.]]+Table1[[#This Row],[OFFSET]]</f>
        <v>148.75</v>
      </c>
      <c r="G8" s="5">
        <f>Table1[[#This Row],[dist C.A. - ref]]*Table1[[#This Row],[CORDA]]</f>
        <v>77201.25</v>
      </c>
    </row>
    <row r="9" spans="1:19" x14ac:dyDescent="0.25">
      <c r="A9" s="3">
        <v>8</v>
      </c>
      <c r="B9" s="3">
        <v>24</v>
      </c>
      <c r="C9" s="3">
        <v>510</v>
      </c>
      <c r="D9" s="4">
        <v>0.25</v>
      </c>
      <c r="E9" s="2">
        <f>Table1[[#This Row],[CORDA]]*Table1[[#This Row],[C.A. (% corda)]]</f>
        <v>127.5</v>
      </c>
      <c r="F9" s="2">
        <f>Table1[[#This Row],[C.A.]]+Table1[[#This Row],[OFFSET]]</f>
        <v>151.5</v>
      </c>
      <c r="G9" s="5">
        <f>Table1[[#This Row],[dist C.A. - ref]]*Table1[[#This Row],[CORDA]]</f>
        <v>77265</v>
      </c>
    </row>
    <row r="10" spans="1:19" x14ac:dyDescent="0.25">
      <c r="A10" s="3">
        <v>9</v>
      </c>
      <c r="B10" s="3">
        <v>29</v>
      </c>
      <c r="C10" s="3">
        <v>499</v>
      </c>
      <c r="D10" s="4">
        <v>0.25</v>
      </c>
      <c r="E10" s="2">
        <f>Table1[[#This Row],[CORDA]]*Table1[[#This Row],[C.A. (% corda)]]</f>
        <v>124.75</v>
      </c>
      <c r="F10" s="2">
        <f>Table1[[#This Row],[C.A.]]+Table1[[#This Row],[OFFSET]]</f>
        <v>153.75</v>
      </c>
      <c r="G10" s="5">
        <f>Table1[[#This Row],[dist C.A. - ref]]*Table1[[#This Row],[CORDA]]</f>
        <v>76721.25</v>
      </c>
    </row>
    <row r="11" spans="1:19" x14ac:dyDescent="0.25">
      <c r="A11" s="3">
        <v>10</v>
      </c>
      <c r="B11" s="3">
        <v>34</v>
      </c>
      <c r="C11" s="3">
        <v>487</v>
      </c>
      <c r="D11" s="4">
        <v>0.25</v>
      </c>
      <c r="E11" s="2">
        <f>Table1[[#This Row],[CORDA]]*Table1[[#This Row],[C.A. (% corda)]]</f>
        <v>121.75</v>
      </c>
      <c r="F11" s="2">
        <f>Table1[[#This Row],[C.A.]]+Table1[[#This Row],[OFFSET]]</f>
        <v>155.75</v>
      </c>
      <c r="G11" s="5">
        <f>Table1[[#This Row],[dist C.A. - ref]]*Table1[[#This Row],[CORDA]]</f>
        <v>75850.25</v>
      </c>
    </row>
    <row r="12" spans="1:19" x14ac:dyDescent="0.25">
      <c r="A12" s="3">
        <v>11</v>
      </c>
      <c r="B12" s="3">
        <v>41</v>
      </c>
      <c r="C12" s="3">
        <v>471</v>
      </c>
      <c r="D12" s="4">
        <v>0.25</v>
      </c>
      <c r="E12" s="2">
        <f>Table1[[#This Row],[CORDA]]*Table1[[#This Row],[C.A. (% corda)]]</f>
        <v>117.75</v>
      </c>
      <c r="F12" s="2">
        <f>Table1[[#This Row],[C.A.]]+Table1[[#This Row],[OFFSET]]</f>
        <v>158.75</v>
      </c>
      <c r="G12" s="5">
        <f>Table1[[#This Row],[dist C.A. - ref]]*Table1[[#This Row],[CORDA]]</f>
        <v>74771.25</v>
      </c>
    </row>
    <row r="13" spans="1:19" x14ac:dyDescent="0.25">
      <c r="A13" s="3">
        <v>12</v>
      </c>
      <c r="B13" s="3">
        <v>49</v>
      </c>
      <c r="C13" s="3">
        <v>454</v>
      </c>
      <c r="D13" s="4">
        <v>0.25</v>
      </c>
      <c r="E13" s="2">
        <f>Table1[[#This Row],[CORDA]]*Table1[[#This Row],[C.A. (% corda)]]</f>
        <v>113.5</v>
      </c>
      <c r="F13" s="2">
        <f>Table1[[#This Row],[C.A.]]+Table1[[#This Row],[OFFSET]]</f>
        <v>162.5</v>
      </c>
      <c r="G13" s="5">
        <f>Table1[[#This Row],[dist C.A. - ref]]*Table1[[#This Row],[CORDA]]</f>
        <v>73775</v>
      </c>
    </row>
    <row r="14" spans="1:19" x14ac:dyDescent="0.25">
      <c r="A14" s="3">
        <v>13</v>
      </c>
      <c r="B14" s="3">
        <v>56</v>
      </c>
      <c r="C14" s="3">
        <v>436</v>
      </c>
      <c r="D14" s="4">
        <v>0.25</v>
      </c>
      <c r="E14" s="2">
        <f>Table1[[#This Row],[CORDA]]*Table1[[#This Row],[C.A. (% corda)]]</f>
        <v>109</v>
      </c>
      <c r="F14" s="2">
        <f>Table1[[#This Row],[C.A.]]+Table1[[#This Row],[OFFSET]]</f>
        <v>165</v>
      </c>
      <c r="G14" s="5">
        <f>Table1[[#This Row],[dist C.A. - ref]]*Table1[[#This Row],[CORDA]]</f>
        <v>71940</v>
      </c>
    </row>
    <row r="15" spans="1:19" x14ac:dyDescent="0.25">
      <c r="A15" s="3">
        <v>14</v>
      </c>
      <c r="B15" s="3">
        <v>64</v>
      </c>
      <c r="C15" s="3">
        <v>415</v>
      </c>
      <c r="D15" s="4">
        <v>0.25</v>
      </c>
      <c r="E15" s="2">
        <f>Table1[[#This Row],[CORDA]]*Table1[[#This Row],[C.A. (% corda)]]</f>
        <v>103.75</v>
      </c>
      <c r="F15" s="2">
        <f>Table1[[#This Row],[C.A.]]+Table1[[#This Row],[OFFSET]]</f>
        <v>167.75</v>
      </c>
      <c r="G15" s="5">
        <f>Table1[[#This Row],[dist C.A. - ref]]*Table1[[#This Row],[CORDA]]</f>
        <v>69616.25</v>
      </c>
    </row>
    <row r="16" spans="1:19" x14ac:dyDescent="0.25">
      <c r="A16" s="3">
        <v>15</v>
      </c>
      <c r="B16" s="3">
        <v>73</v>
      </c>
      <c r="C16" s="3">
        <v>391</v>
      </c>
      <c r="D16" s="4">
        <v>0.25</v>
      </c>
      <c r="E16" s="2">
        <f>Table1[[#This Row],[CORDA]]*Table1[[#This Row],[C.A. (% corda)]]</f>
        <v>97.75</v>
      </c>
      <c r="F16" s="2">
        <f>Table1[[#This Row],[C.A.]]+Table1[[#This Row],[OFFSET]]</f>
        <v>170.75</v>
      </c>
      <c r="G16" s="5">
        <f>Table1[[#This Row],[dist C.A. - ref]]*Table1[[#This Row],[CORDA]]</f>
        <v>66763.25</v>
      </c>
    </row>
    <row r="17" spans="1:7" x14ac:dyDescent="0.25">
      <c r="A17" s="3">
        <v>16</v>
      </c>
      <c r="B17" s="3">
        <v>83</v>
      </c>
      <c r="C17" s="3">
        <v>364</v>
      </c>
      <c r="D17" s="4">
        <v>0.25</v>
      </c>
      <c r="E17" s="2">
        <f>Table1[[#This Row],[CORDA]]*Table1[[#This Row],[C.A. (% corda)]]</f>
        <v>91</v>
      </c>
      <c r="F17" s="2">
        <f>Table1[[#This Row],[C.A.]]+Table1[[#This Row],[OFFSET]]</f>
        <v>174</v>
      </c>
      <c r="G17" s="5">
        <f>Table1[[#This Row],[dist C.A. - ref]]*Table1[[#This Row],[CORDA]]</f>
        <v>63336</v>
      </c>
    </row>
    <row r="18" spans="1:7" x14ac:dyDescent="0.25">
      <c r="A18" s="3">
        <v>17</v>
      </c>
      <c r="B18" s="3">
        <v>93</v>
      </c>
      <c r="C18" s="3">
        <v>333</v>
      </c>
      <c r="D18" s="4">
        <v>0.25</v>
      </c>
      <c r="E18" s="2">
        <f>Table1[[#This Row],[CORDA]]*Table1[[#This Row],[C.A. (% corda)]]</f>
        <v>83.25</v>
      </c>
      <c r="F18" s="2">
        <f>Table1[[#This Row],[C.A.]]+Table1[[#This Row],[OFFSET]]</f>
        <v>176.25</v>
      </c>
      <c r="G18" s="5">
        <f>Table1[[#This Row],[dist C.A. - ref]]*Table1[[#This Row],[CORDA]]</f>
        <v>58691.25</v>
      </c>
    </row>
    <row r="19" spans="1:7" x14ac:dyDescent="0.25">
      <c r="A19" s="3">
        <v>18</v>
      </c>
      <c r="B19" s="3">
        <v>104</v>
      </c>
      <c r="C19" s="3">
        <v>297</v>
      </c>
      <c r="D19" s="4">
        <v>0.25</v>
      </c>
      <c r="E19" s="2">
        <f>Table1[[#This Row],[CORDA]]*Table1[[#This Row],[C.A. (% corda)]]</f>
        <v>74.25</v>
      </c>
      <c r="F19" s="2">
        <f>Table1[[#This Row],[C.A.]]+Table1[[#This Row],[OFFSET]]</f>
        <v>178.25</v>
      </c>
      <c r="G19" s="5">
        <f>Table1[[#This Row],[dist C.A. - ref]]*Table1[[#This Row],[CORDA]]</f>
        <v>52940.25</v>
      </c>
    </row>
    <row r="20" spans="1:7" x14ac:dyDescent="0.25">
      <c r="A20" s="3">
        <v>19</v>
      </c>
      <c r="B20" s="3">
        <v>118</v>
      </c>
      <c r="C20" s="3">
        <v>248</v>
      </c>
      <c r="D20" s="4">
        <v>0.25</v>
      </c>
      <c r="E20" s="2">
        <f>Table1[[#This Row],[CORDA]]*Table1[[#This Row],[C.A. (% corda)]]</f>
        <v>62</v>
      </c>
      <c r="F20" s="2">
        <f>Table1[[#This Row],[C.A.]]+Table1[[#This Row],[OFFSET]]</f>
        <v>180</v>
      </c>
      <c r="G20" s="5">
        <f>Table1[[#This Row],[dist C.A. - ref]]*Table1[[#This Row],[CORDA]]</f>
        <v>44640</v>
      </c>
    </row>
    <row r="21" spans="1:7" x14ac:dyDescent="0.25">
      <c r="A21" s="3">
        <v>20</v>
      </c>
      <c r="B21" s="3">
        <v>140</v>
      </c>
      <c r="C21" s="3">
        <v>179</v>
      </c>
      <c r="D21" s="4">
        <v>0.25</v>
      </c>
      <c r="E21" s="2">
        <f>Table1[[#This Row],[CORDA]]*Table1[[#This Row],[C.A. (% corda)]]</f>
        <v>44.75</v>
      </c>
      <c r="F21" s="2">
        <f>Table1[[#This Row],[C.A.]]+Table1[[#This Row],[OFFSET]]</f>
        <v>184.75</v>
      </c>
      <c r="G21" s="5">
        <f>Table1[[#This Row],[dist C.A. - ref]]*Table1[[#This Row],[CORDA]]</f>
        <v>33070.25</v>
      </c>
    </row>
  </sheetData>
  <mergeCells count="1">
    <mergeCell ref="J1:K1"/>
  </mergeCell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658C-46D3-488E-B417-3334FBE5F5BD}">
  <dimension ref="A1:S21"/>
  <sheetViews>
    <sheetView showGridLines="0" workbookViewId="0">
      <selection activeCell="L33" sqref="L33"/>
    </sheetView>
  </sheetViews>
  <sheetFormatPr defaultRowHeight="15" x14ac:dyDescent="0.25"/>
  <cols>
    <col min="1" max="1" width="9.5703125" customWidth="1"/>
    <col min="2" max="2" width="12.140625" customWidth="1"/>
    <col min="3" max="3" width="12.28515625" customWidth="1"/>
    <col min="4" max="4" width="11.5703125" customWidth="1"/>
    <col min="5" max="5" width="10" customWidth="1"/>
  </cols>
  <sheetData>
    <row r="1" spans="1:19" s="1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6" t="s">
        <v>11</v>
      </c>
      <c r="K1" s="16"/>
    </row>
    <row r="2" spans="1:19" x14ac:dyDescent="0.25">
      <c r="A2" s="3">
        <v>1</v>
      </c>
      <c r="B2" s="3">
        <v>0</v>
      </c>
      <c r="C2" s="3">
        <v>155</v>
      </c>
      <c r="D2" s="4">
        <v>0.25</v>
      </c>
      <c r="E2" s="2">
        <f>Table13[[#This Row],[CORDA]]*Table13[[#This Row],[C.A. (% corda)]]</f>
        <v>38.75</v>
      </c>
      <c r="F2" s="2">
        <f>Table13[[#This Row],[C.A.]]+Table13[[#This Row],[OFFSET]]</f>
        <v>38.75</v>
      </c>
      <c r="G2" s="5">
        <f>Table13[[#This Row],[dist C.A. - ref]]*Table13[[#This Row],[CORDA]]</f>
        <v>6006.25</v>
      </c>
      <c r="J2" s="6" t="s">
        <v>10</v>
      </c>
      <c r="K2" s="7">
        <f>SUM(G:G)/SUM(C:C)</f>
        <v>57.079180822952054</v>
      </c>
      <c r="M2" s="12" t="s">
        <v>9</v>
      </c>
      <c r="N2" s="12"/>
      <c r="O2" s="12"/>
      <c r="Q2" t="s">
        <v>24</v>
      </c>
      <c r="S2">
        <f>AVERAGE(C:C)</f>
        <v>264.89999999999998</v>
      </c>
    </row>
    <row r="3" spans="1:19" x14ac:dyDescent="0.25">
      <c r="A3" s="3">
        <v>2</v>
      </c>
      <c r="B3" s="3">
        <v>0</v>
      </c>
      <c r="C3" s="3">
        <v>237</v>
      </c>
      <c r="D3" s="4">
        <v>0.25</v>
      </c>
      <c r="E3" s="2">
        <f>Table13[[#This Row],[CORDA]]*Table13[[#This Row],[C.A. (% corda)]]</f>
        <v>59.25</v>
      </c>
      <c r="F3" s="2">
        <f>Table13[[#This Row],[C.A.]]+Table13[[#This Row],[OFFSET]]</f>
        <v>59.25</v>
      </c>
      <c r="G3" s="5">
        <f>Table13[[#This Row],[dist C.A. - ref]]*Table13[[#This Row],[CORDA]]</f>
        <v>14042.25</v>
      </c>
    </row>
    <row r="4" spans="1:19" x14ac:dyDescent="0.25">
      <c r="A4" s="3">
        <v>3</v>
      </c>
      <c r="B4" s="3">
        <v>0</v>
      </c>
      <c r="C4" s="3">
        <v>294</v>
      </c>
      <c r="D4" s="4">
        <v>0.25</v>
      </c>
      <c r="E4" s="2">
        <f>Table13[[#This Row],[CORDA]]*Table13[[#This Row],[C.A. (% corda)]]</f>
        <v>73.5</v>
      </c>
      <c r="F4" s="2">
        <f>Table13[[#This Row],[C.A.]]+Table13[[#This Row],[OFFSET]]</f>
        <v>73.5</v>
      </c>
      <c r="G4" s="5">
        <f>Table13[[#This Row],[dist C.A. - ref]]*Table13[[#This Row],[CORDA]]</f>
        <v>21609</v>
      </c>
    </row>
    <row r="5" spans="1:19" x14ac:dyDescent="0.25">
      <c r="A5" s="3">
        <v>4</v>
      </c>
      <c r="B5" s="3">
        <v>0</v>
      </c>
      <c r="C5" s="3">
        <v>311</v>
      </c>
      <c r="D5" s="4">
        <v>0.25</v>
      </c>
      <c r="E5" s="2">
        <f>Table13[[#This Row],[CORDA]]*Table13[[#This Row],[C.A. (% corda)]]</f>
        <v>77.75</v>
      </c>
      <c r="F5" s="2">
        <f>Table13[[#This Row],[C.A.]]+Table13[[#This Row],[OFFSET]]</f>
        <v>77.75</v>
      </c>
      <c r="G5" s="5">
        <f>Table13[[#This Row],[dist C.A. - ref]]*Table13[[#This Row],[CORDA]]</f>
        <v>24180.25</v>
      </c>
    </row>
    <row r="6" spans="1:19" x14ac:dyDescent="0.25">
      <c r="A6" s="3">
        <v>5</v>
      </c>
      <c r="B6" s="3">
        <v>-62</v>
      </c>
      <c r="C6" s="3">
        <v>376</v>
      </c>
      <c r="D6" s="4">
        <v>0.25</v>
      </c>
      <c r="E6" s="2">
        <f>Table13[[#This Row],[CORDA]]*Table13[[#This Row],[C.A. (% corda)]]</f>
        <v>94</v>
      </c>
      <c r="F6" s="2">
        <f>Table13[[#This Row],[C.A.]]+Table13[[#This Row],[OFFSET]]</f>
        <v>32</v>
      </c>
      <c r="G6" s="5">
        <f>Table13[[#This Row],[dist C.A. - ref]]*Table13[[#This Row],[CORDA]]</f>
        <v>12032</v>
      </c>
    </row>
    <row r="7" spans="1:19" x14ac:dyDescent="0.25">
      <c r="A7" s="3">
        <v>6</v>
      </c>
      <c r="B7" s="3">
        <v>-113</v>
      </c>
      <c r="C7" s="3">
        <v>425</v>
      </c>
      <c r="D7" s="4">
        <v>0.25</v>
      </c>
      <c r="E7" s="2">
        <f>Table13[[#This Row],[CORDA]]*Table13[[#This Row],[C.A. (% corda)]]</f>
        <v>106.25</v>
      </c>
      <c r="F7" s="2">
        <f>Table13[[#This Row],[C.A.]]+Table13[[#This Row],[OFFSET]]</f>
        <v>-6.75</v>
      </c>
      <c r="G7" s="5">
        <f>Table13[[#This Row],[dist C.A. - ref]]*Table13[[#This Row],[CORDA]]</f>
        <v>-2868.75</v>
      </c>
    </row>
    <row r="8" spans="1:19" x14ac:dyDescent="0.25">
      <c r="A8" s="3">
        <v>7</v>
      </c>
      <c r="B8" s="3">
        <v>-37</v>
      </c>
      <c r="C8" s="3">
        <v>339</v>
      </c>
      <c r="D8" s="4">
        <v>0.25</v>
      </c>
      <c r="E8" s="2">
        <f>Table13[[#This Row],[CORDA]]*Table13[[#This Row],[C.A. (% corda)]]</f>
        <v>84.75</v>
      </c>
      <c r="F8" s="2">
        <f>Table13[[#This Row],[C.A.]]+Table13[[#This Row],[OFFSET]]</f>
        <v>47.75</v>
      </c>
      <c r="G8" s="5">
        <f>Table13[[#This Row],[dist C.A. - ref]]*Table13[[#This Row],[CORDA]]</f>
        <v>16187.25</v>
      </c>
    </row>
    <row r="9" spans="1:19" x14ac:dyDescent="0.25">
      <c r="A9" s="3">
        <v>8</v>
      </c>
      <c r="B9" s="3">
        <v>39</v>
      </c>
      <c r="C9" s="3">
        <v>245</v>
      </c>
      <c r="D9" s="4">
        <v>0.25</v>
      </c>
      <c r="E9" s="2">
        <f>Table13[[#This Row],[CORDA]]*Table13[[#This Row],[C.A. (% corda)]]</f>
        <v>61.25</v>
      </c>
      <c r="F9" s="2">
        <f>Table13[[#This Row],[C.A.]]+Table13[[#This Row],[OFFSET]]</f>
        <v>100.25</v>
      </c>
      <c r="G9" s="5">
        <f>Table13[[#This Row],[dist C.A. - ref]]*Table13[[#This Row],[CORDA]]</f>
        <v>24561.25</v>
      </c>
    </row>
    <row r="10" spans="1:19" x14ac:dyDescent="0.25">
      <c r="A10" s="3">
        <v>9</v>
      </c>
      <c r="B10" s="3">
        <v>88</v>
      </c>
      <c r="C10" s="3">
        <v>165</v>
      </c>
      <c r="D10" s="4">
        <v>0.25</v>
      </c>
      <c r="E10" s="2">
        <f>Table13[[#This Row],[CORDA]]*Table13[[#This Row],[C.A. (% corda)]]</f>
        <v>41.25</v>
      </c>
      <c r="F10" s="2">
        <f>Table13[[#This Row],[C.A.]]+Table13[[#This Row],[OFFSET]]</f>
        <v>129.25</v>
      </c>
      <c r="G10" s="5">
        <f>Table13[[#This Row],[dist C.A. - ref]]*Table13[[#This Row],[CORDA]]</f>
        <v>21326.25</v>
      </c>
    </row>
    <row r="11" spans="1:19" x14ac:dyDescent="0.25">
      <c r="A11" s="3">
        <v>10</v>
      </c>
      <c r="B11" s="3">
        <v>113</v>
      </c>
      <c r="C11" s="3">
        <v>102</v>
      </c>
      <c r="D11" s="4">
        <v>0.25</v>
      </c>
      <c r="E11" s="2">
        <f>Table13[[#This Row],[CORDA]]*Table13[[#This Row],[C.A. (% corda)]]</f>
        <v>25.5</v>
      </c>
      <c r="F11" s="2">
        <f>Table13[[#This Row],[C.A.]]+Table13[[#This Row],[OFFSET]]</f>
        <v>138.5</v>
      </c>
      <c r="G11" s="5">
        <f>Table13[[#This Row],[dist C.A. - ref]]*Table13[[#This Row],[CORDA]]</f>
        <v>14127</v>
      </c>
    </row>
    <row r="12" spans="1:19" x14ac:dyDescent="0.25">
      <c r="A12" s="3"/>
      <c r="B12" s="3"/>
      <c r="C12" s="3"/>
      <c r="D12" s="4"/>
      <c r="E12" s="2"/>
      <c r="F12" s="2"/>
      <c r="G12" s="5"/>
    </row>
    <row r="13" spans="1:19" x14ac:dyDescent="0.25">
      <c r="A13" s="3"/>
      <c r="B13" s="3"/>
      <c r="C13" s="3"/>
      <c r="D13" s="4"/>
      <c r="E13" s="2"/>
      <c r="F13" s="2"/>
      <c r="G13" s="5"/>
    </row>
    <row r="14" spans="1:19" x14ac:dyDescent="0.25">
      <c r="A14" s="3"/>
      <c r="B14" s="3"/>
      <c r="C14" s="3"/>
      <c r="D14" s="4"/>
      <c r="E14" s="2"/>
      <c r="F14" s="2"/>
      <c r="G14" s="5"/>
    </row>
    <row r="15" spans="1:19" x14ac:dyDescent="0.25">
      <c r="A15" s="3"/>
      <c r="B15" s="3"/>
      <c r="C15" s="3"/>
      <c r="D15" s="4"/>
      <c r="E15" s="2"/>
      <c r="F15" s="2"/>
      <c r="G15" s="5"/>
    </row>
    <row r="16" spans="1:19" x14ac:dyDescent="0.25">
      <c r="A16" s="3"/>
      <c r="B16" s="3"/>
      <c r="C16" s="3"/>
      <c r="D16" s="4"/>
      <c r="E16" s="2"/>
      <c r="F16" s="2"/>
      <c r="G16" s="5"/>
    </row>
    <row r="17" spans="1:7" x14ac:dyDescent="0.25">
      <c r="A17" s="3"/>
      <c r="B17" s="3"/>
      <c r="C17" s="3"/>
      <c r="D17" s="4"/>
      <c r="E17" s="2"/>
      <c r="F17" s="2"/>
      <c r="G17" s="5"/>
    </row>
    <row r="18" spans="1:7" x14ac:dyDescent="0.25">
      <c r="A18" s="3"/>
      <c r="B18" s="3"/>
      <c r="C18" s="3"/>
      <c r="D18" s="4"/>
      <c r="E18" s="2"/>
      <c r="F18" s="2"/>
      <c r="G18" s="5"/>
    </row>
    <row r="19" spans="1:7" x14ac:dyDescent="0.25">
      <c r="A19" s="3"/>
      <c r="B19" s="3"/>
      <c r="C19" s="3"/>
      <c r="D19" s="4"/>
      <c r="E19" s="2"/>
      <c r="F19" s="2"/>
      <c r="G19" s="5"/>
    </row>
    <row r="20" spans="1:7" x14ac:dyDescent="0.25">
      <c r="A20" s="3"/>
      <c r="B20" s="3"/>
      <c r="C20" s="3"/>
      <c r="D20" s="4"/>
      <c r="E20" s="2"/>
      <c r="F20" s="2"/>
      <c r="G20" s="5"/>
    </row>
    <row r="21" spans="1:7" x14ac:dyDescent="0.25">
      <c r="A21" s="3"/>
      <c r="B21" s="3"/>
      <c r="C21" s="3"/>
      <c r="D21" s="4"/>
      <c r="E21" s="2"/>
      <c r="F21" s="2"/>
      <c r="G21" s="5"/>
    </row>
  </sheetData>
  <mergeCells count="1">
    <mergeCell ref="J1:K1"/>
  </mergeCell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14B1-AB0E-46A7-975D-EAB3926FE5BE}">
  <dimension ref="A1:D17"/>
  <sheetViews>
    <sheetView showGridLines="0" workbookViewId="0">
      <selection activeCell="A16" sqref="A16"/>
    </sheetView>
  </sheetViews>
  <sheetFormatPr defaultRowHeight="15" x14ac:dyDescent="0.25"/>
  <sheetData>
    <row r="1" spans="1:4" s="8" customFormat="1" x14ac:dyDescent="0.25">
      <c r="A1" s="8" t="s">
        <v>17</v>
      </c>
      <c r="B1" s="8" t="s">
        <v>18</v>
      </c>
      <c r="C1" s="8" t="s">
        <v>19</v>
      </c>
      <c r="D1" s="8" t="s">
        <v>20</v>
      </c>
    </row>
    <row r="2" spans="1:4" x14ac:dyDescent="0.25">
      <c r="A2" s="3">
        <v>-6</v>
      </c>
      <c r="B2" s="14">
        <v>-0.2</v>
      </c>
      <c r="C2" s="13">
        <v>1.2E-2</v>
      </c>
      <c r="D2" s="13">
        <v>-0.14000000000000001</v>
      </c>
    </row>
    <row r="3" spans="1:4" x14ac:dyDescent="0.25">
      <c r="A3" s="3">
        <v>-5</v>
      </c>
      <c r="B3" s="14">
        <v>-9.1666666666666674E-2</v>
      </c>
      <c r="C3" s="13">
        <v>1.0999999999999999E-2</v>
      </c>
      <c r="D3" s="13">
        <v>-0.13</v>
      </c>
    </row>
    <row r="4" spans="1:4" x14ac:dyDescent="0.25">
      <c r="A4" s="3">
        <v>-4</v>
      </c>
      <c r="B4" s="14">
        <v>1.6666666666666718E-2</v>
      </c>
      <c r="C4" s="13">
        <v>0.01</v>
      </c>
      <c r="D4" s="13">
        <v>-0.12</v>
      </c>
    </row>
    <row r="5" spans="1:4" x14ac:dyDescent="0.25">
      <c r="A5" s="3">
        <v>-3</v>
      </c>
      <c r="B5" s="14">
        <v>0.12500000000000006</v>
      </c>
      <c r="C5" s="13">
        <v>8.9999999999999993E-3</v>
      </c>
      <c r="D5" s="13">
        <v>-0.12</v>
      </c>
    </row>
    <row r="6" spans="1:4" x14ac:dyDescent="0.25">
      <c r="A6" s="3">
        <v>-2</v>
      </c>
      <c r="B6" s="14">
        <v>0.23333333333333339</v>
      </c>
      <c r="C6" s="13">
        <v>8.5000000000000006E-3</v>
      </c>
      <c r="D6" s="13">
        <v>-0.12</v>
      </c>
    </row>
    <row r="7" spans="1:4" x14ac:dyDescent="0.25">
      <c r="A7" s="3">
        <v>-1</v>
      </c>
      <c r="B7" s="14">
        <v>0.34166666666666673</v>
      </c>
      <c r="C7" s="13">
        <v>8.0000000000000002E-3</v>
      </c>
      <c r="D7" s="13">
        <v>-0.11</v>
      </c>
    </row>
    <row r="8" spans="1:4" x14ac:dyDescent="0.25">
      <c r="A8" s="3">
        <v>0</v>
      </c>
      <c r="B8" s="14">
        <v>0.45000000000000007</v>
      </c>
      <c r="C8" s="13">
        <v>6.0000000000000001E-3</v>
      </c>
      <c r="D8" s="13">
        <v>-0.11</v>
      </c>
    </row>
    <row r="9" spans="1:4" x14ac:dyDescent="0.25">
      <c r="A9" s="3">
        <v>1</v>
      </c>
      <c r="B9" s="14">
        <v>0.55833333333333335</v>
      </c>
      <c r="C9" s="13">
        <v>7.0000000000000001E-3</v>
      </c>
      <c r="D9" s="13">
        <v>-0.1</v>
      </c>
    </row>
    <row r="10" spans="1:4" x14ac:dyDescent="0.25">
      <c r="A10" s="3">
        <v>2</v>
      </c>
      <c r="B10" s="14">
        <v>0.66666666666666674</v>
      </c>
      <c r="C10" s="13">
        <v>8.0000000000000002E-3</v>
      </c>
      <c r="D10" s="13">
        <v>-9.8000000000000004E-2</v>
      </c>
    </row>
    <row r="11" spans="1:4" x14ac:dyDescent="0.25">
      <c r="A11" s="3">
        <v>3</v>
      </c>
      <c r="B11" s="14">
        <v>0.77500000000000013</v>
      </c>
      <c r="C11" s="13">
        <v>8.9999999999999993E-3</v>
      </c>
      <c r="D11" s="13">
        <v>-9.6000000000000002E-2</v>
      </c>
    </row>
    <row r="12" spans="1:4" x14ac:dyDescent="0.25">
      <c r="A12" s="3">
        <v>4</v>
      </c>
      <c r="B12" s="14">
        <v>0.88333333333333341</v>
      </c>
      <c r="C12" s="13">
        <v>9.4999999999999998E-3</v>
      </c>
      <c r="D12" s="13">
        <v>-9.6000000000000002E-2</v>
      </c>
    </row>
    <row r="13" spans="1:4" x14ac:dyDescent="0.25">
      <c r="A13" s="3">
        <v>5</v>
      </c>
      <c r="B13" s="14">
        <v>0.99166666666666681</v>
      </c>
      <c r="C13" s="13">
        <v>0.01</v>
      </c>
      <c r="D13" s="13">
        <v>-9.6000000000000002E-2</v>
      </c>
    </row>
    <row r="14" spans="1:4" x14ac:dyDescent="0.25">
      <c r="A14" s="3">
        <v>6</v>
      </c>
      <c r="B14" s="14">
        <v>1.1000000000000001</v>
      </c>
      <c r="C14" s="13">
        <v>1.0999999999999999E-2</v>
      </c>
      <c r="D14" s="13">
        <v>-9.4E-2</v>
      </c>
    </row>
    <row r="16" spans="1:4" x14ac:dyDescent="0.25">
      <c r="A16" s="9" t="s">
        <v>30</v>
      </c>
    </row>
    <row r="17" spans="1:1" x14ac:dyDescent="0.25">
      <c r="A17" t="s">
        <v>25</v>
      </c>
    </row>
  </sheetData>
  <hyperlinks>
    <hyperlink ref="A16" r:id="rId1" xr:uid="{28F910D1-A5C5-49CF-B28E-2EB906EB9EE1}"/>
  </hyperlinks>
  <pageMargins left="0.7" right="0.7" top="0.75" bottom="0.75" header="0.3" footer="0.3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867E-E918-471F-8A99-99032650F680}">
  <dimension ref="A1:D17"/>
  <sheetViews>
    <sheetView showGridLines="0" workbookViewId="0">
      <selection activeCell="A2" sqref="A2:D14"/>
    </sheetView>
  </sheetViews>
  <sheetFormatPr defaultRowHeight="15" x14ac:dyDescent="0.25"/>
  <sheetData>
    <row r="1" spans="1:4" s="8" customFormat="1" x14ac:dyDescent="0.25">
      <c r="A1" s="8" t="s">
        <v>17</v>
      </c>
      <c r="B1" s="8" t="s">
        <v>18</v>
      </c>
      <c r="C1" s="8" t="s">
        <v>19</v>
      </c>
      <c r="D1" s="8" t="s">
        <v>20</v>
      </c>
    </row>
    <row r="2" spans="1:4" x14ac:dyDescent="0.25">
      <c r="A2" s="3">
        <v>-6</v>
      </c>
      <c r="B2" s="3">
        <v>-0.65</v>
      </c>
      <c r="C2" s="13">
        <v>0.04</v>
      </c>
      <c r="D2" s="13">
        <v>-0.01</v>
      </c>
    </row>
    <row r="3" spans="1:4" x14ac:dyDescent="0.25">
      <c r="A3" s="3">
        <v>-5</v>
      </c>
      <c r="B3" s="14">
        <v>-0.54166666666666674</v>
      </c>
      <c r="C3" s="13">
        <v>0.02</v>
      </c>
      <c r="D3" s="13">
        <v>-0.01</v>
      </c>
    </row>
    <row r="4" spans="1:4" x14ac:dyDescent="0.25">
      <c r="A4" s="3">
        <v>-4</v>
      </c>
      <c r="B4" s="14">
        <v>-0.43333333333333335</v>
      </c>
      <c r="C4" s="3">
        <v>1.4E-2</v>
      </c>
      <c r="D4" s="13">
        <v>-5.0000000000000001E-3</v>
      </c>
    </row>
    <row r="5" spans="1:4" x14ac:dyDescent="0.25">
      <c r="A5" s="3">
        <v>-3</v>
      </c>
      <c r="B5" s="14">
        <v>-0.32500000000000001</v>
      </c>
      <c r="C5" s="13">
        <v>0.01</v>
      </c>
      <c r="D5" s="13">
        <v>0</v>
      </c>
    </row>
    <row r="6" spans="1:4" x14ac:dyDescent="0.25">
      <c r="A6" s="3">
        <v>-2</v>
      </c>
      <c r="B6" s="14">
        <v>-0.21666666666666667</v>
      </c>
      <c r="C6" s="3">
        <v>8.0000000000000002E-3</v>
      </c>
      <c r="D6" s="13">
        <v>0.01</v>
      </c>
    </row>
    <row r="7" spans="1:4" x14ac:dyDescent="0.25">
      <c r="A7" s="3">
        <v>-1</v>
      </c>
      <c r="B7" s="14">
        <v>-0.10833333333333334</v>
      </c>
      <c r="C7" s="3">
        <v>8.0000000000000002E-3</v>
      </c>
      <c r="D7" s="13">
        <v>-0.01</v>
      </c>
    </row>
    <row r="8" spans="1:4" x14ac:dyDescent="0.25">
      <c r="A8" s="3">
        <v>0</v>
      </c>
      <c r="B8" s="14">
        <v>0</v>
      </c>
      <c r="C8" s="3">
        <v>8.0000000000000002E-3</v>
      </c>
      <c r="D8" s="13">
        <v>0</v>
      </c>
    </row>
    <row r="9" spans="1:4" x14ac:dyDescent="0.25">
      <c r="A9" s="3">
        <v>1</v>
      </c>
      <c r="B9" s="14">
        <v>0.10833333333333334</v>
      </c>
      <c r="C9" s="3">
        <v>8.0000000000000002E-3</v>
      </c>
      <c r="D9" s="13">
        <v>0.01</v>
      </c>
    </row>
    <row r="10" spans="1:4" x14ac:dyDescent="0.25">
      <c r="A10" s="3">
        <v>2</v>
      </c>
      <c r="B10" s="14">
        <v>0.21666666666666667</v>
      </c>
      <c r="C10" s="3">
        <v>8.0000000000000002E-3</v>
      </c>
      <c r="D10" s="13">
        <v>-0.01</v>
      </c>
    </row>
    <row r="11" spans="1:4" x14ac:dyDescent="0.25">
      <c r="A11" s="3">
        <v>3</v>
      </c>
      <c r="B11" s="14">
        <v>0.32500000000000001</v>
      </c>
      <c r="C11" s="13">
        <v>0.01</v>
      </c>
      <c r="D11" s="13">
        <v>0</v>
      </c>
    </row>
    <row r="12" spans="1:4" x14ac:dyDescent="0.25">
      <c r="A12" s="3">
        <v>4</v>
      </c>
      <c r="B12" s="14">
        <v>0.43333333333333335</v>
      </c>
      <c r="C12" s="13">
        <v>1.4E-2</v>
      </c>
      <c r="D12" s="13">
        <v>5.0000000000000001E-3</v>
      </c>
    </row>
    <row r="13" spans="1:4" x14ac:dyDescent="0.25">
      <c r="A13" s="3">
        <v>5</v>
      </c>
      <c r="B13" s="14">
        <v>0.54166666666666674</v>
      </c>
      <c r="C13" s="13">
        <v>0.02</v>
      </c>
      <c r="D13" s="13">
        <v>0.01</v>
      </c>
    </row>
    <row r="14" spans="1:4" x14ac:dyDescent="0.25">
      <c r="A14" s="3">
        <v>6</v>
      </c>
      <c r="B14" s="3">
        <v>0.65</v>
      </c>
      <c r="C14" s="13">
        <v>0.04</v>
      </c>
      <c r="D14" s="13">
        <v>0.01</v>
      </c>
    </row>
    <row r="16" spans="1:4" x14ac:dyDescent="0.25">
      <c r="A16" s="9" t="s">
        <v>21</v>
      </c>
    </row>
    <row r="17" spans="1:1" x14ac:dyDescent="0.25">
      <c r="A17" t="s">
        <v>25</v>
      </c>
    </row>
  </sheetData>
  <hyperlinks>
    <hyperlink ref="A16" r:id="rId1" xr:uid="{B42AED14-B849-4971-A5AD-19730FC5514A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Istruzioni</vt:lpstr>
      <vt:lpstr>Riepilogo</vt:lpstr>
      <vt:lpstr>C.A. ala</vt:lpstr>
      <vt:lpstr>C.A. piani coda</vt:lpstr>
      <vt:lpstr>NACA 4412</vt:lpstr>
      <vt:lpstr>NACA 0006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Ceriotti</dc:creator>
  <cp:lastModifiedBy>Fabio Ceriotti</cp:lastModifiedBy>
  <dcterms:created xsi:type="dcterms:W3CDTF">2023-04-02T09:25:34Z</dcterms:created>
  <dcterms:modified xsi:type="dcterms:W3CDTF">2025-05-03T08:31:55Z</dcterms:modified>
</cp:coreProperties>
</file>